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h36617\Documents\"/>
    </mc:Choice>
  </mc:AlternateContent>
  <xr:revisionPtr revIDLastSave="0" documentId="8_{6BA60010-B25F-46C4-AFD8-860D838FF191}" xr6:coauthVersionLast="47" xr6:coauthVersionMax="47" xr10:uidLastSave="{00000000-0000-0000-0000-000000000000}"/>
  <bookViews>
    <workbookView xWindow="3420" yWindow="3420" windowWidth="38700" windowHeight="15435" firstSheet="1" activeTab="1" xr2:uid="{00000000-000D-0000-FFFF-FFFF00000000}"/>
  </bookViews>
  <sheets>
    <sheet name="Forutsetninger budsjett 2025" sheetId="1" r:id="rId1"/>
    <sheet name="Mal for budsjett 2025" sheetId="2" r:id="rId2"/>
  </sheets>
  <externalReferences>
    <externalReference r:id="rId3"/>
  </externalReferences>
  <definedNames>
    <definedName name="AM">[1]Vedlikehold!$A$3:$A$6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60" i="2" l="1"/>
  <c r="C161" i="2"/>
  <c r="C162" i="2"/>
  <c r="C159" i="2"/>
  <c r="G156" i="2"/>
  <c r="G32" i="2"/>
  <c r="G26" i="2"/>
  <c r="G19" i="2"/>
  <c r="G27" i="2"/>
  <c r="G42" i="2" l="1"/>
  <c r="F27" i="2"/>
  <c r="G20" i="2"/>
  <c r="G50" i="2" l="1"/>
  <c r="G51" i="2"/>
  <c r="G52" i="2"/>
  <c r="G53" i="2"/>
  <c r="G31" i="2"/>
  <c r="G57" i="2" l="1"/>
  <c r="G56" i="2"/>
  <c r="L156" i="2"/>
  <c r="M156" i="2" s="1"/>
  <c r="L155" i="2"/>
  <c r="M155" i="2" s="1"/>
  <c r="I155" i="2"/>
  <c r="J155" i="2" s="1"/>
  <c r="I154" i="2"/>
  <c r="J154" i="2" s="1"/>
  <c r="E27" i="2"/>
  <c r="D27" i="2"/>
  <c r="L23" i="2"/>
  <c r="M23" i="2" s="1"/>
  <c r="I23" i="2"/>
  <c r="J23" i="2" s="1"/>
  <c r="L22" i="2"/>
  <c r="M22" i="2" s="1"/>
  <c r="I22" i="2"/>
  <c r="J22" i="2" s="1"/>
  <c r="L21" i="2"/>
  <c r="M21" i="2" s="1"/>
  <c r="I21" i="2"/>
  <c r="J21" i="2" s="1"/>
  <c r="L20" i="2"/>
  <c r="M20" i="2" s="1"/>
  <c r="I20" i="2"/>
  <c r="J20" i="2" s="1"/>
  <c r="L25" i="2"/>
  <c r="M25" i="2" s="1"/>
  <c r="I25" i="2"/>
  <c r="J25" i="2" s="1"/>
  <c r="L24" i="2"/>
  <c r="M24" i="2" s="1"/>
  <c r="I24" i="2"/>
  <c r="J24" i="2" s="1"/>
  <c r="L26" i="2"/>
  <c r="M26" i="2" s="1"/>
  <c r="I26" i="2"/>
  <c r="J26" i="2" s="1"/>
  <c r="L19" i="2"/>
  <c r="M19" i="2" s="1"/>
  <c r="I19" i="2"/>
  <c r="J19" i="2" s="1"/>
  <c r="I156" i="2" l="1"/>
  <c r="J156" i="2" s="1"/>
  <c r="L154" i="2"/>
  <c r="M154" i="2" s="1"/>
  <c r="G49" i="2" l="1"/>
  <c r="C146" i="2" l="1"/>
  <c r="C147" i="2"/>
  <c r="C148" i="2"/>
  <c r="C145" i="2"/>
  <c r="E42" i="2"/>
  <c r="D42" i="2"/>
  <c r="E13" i="2"/>
  <c r="F42" i="2"/>
  <c r="G89" i="2" l="1"/>
  <c r="C134" i="2" l="1"/>
  <c r="C133" i="2"/>
  <c r="C132" i="2"/>
  <c r="I140" i="2" l="1"/>
  <c r="J140" i="2" s="1"/>
  <c r="L142" i="2"/>
  <c r="M142" i="2" s="1"/>
  <c r="L141" i="2"/>
  <c r="M141" i="2" s="1"/>
  <c r="I141" i="2"/>
  <c r="J141" i="2" s="1"/>
  <c r="G11" i="2"/>
  <c r="G10" i="2"/>
  <c r="I142" i="2" l="1"/>
  <c r="J142" i="2" s="1"/>
  <c r="L140" i="2"/>
  <c r="M140" i="2" s="1"/>
  <c r="G13" i="2" l="1"/>
  <c r="L126" i="2"/>
  <c r="M126" i="2" s="1"/>
  <c r="I76" i="2"/>
  <c r="J76" i="2" s="1"/>
  <c r="L76" i="2"/>
  <c r="M76" i="2" s="1"/>
  <c r="I75" i="2"/>
  <c r="J75" i="2" s="1"/>
  <c r="L75" i="2"/>
  <c r="M75" i="2" s="1"/>
  <c r="C131" i="2"/>
  <c r="L127" i="2"/>
  <c r="M127" i="2" s="1"/>
  <c r="I127" i="2"/>
  <c r="J127" i="2" s="1"/>
  <c r="L128" i="2" l="1"/>
  <c r="M128" i="2" s="1"/>
  <c r="I128" i="2"/>
  <c r="J128" i="2" s="1"/>
  <c r="I126" i="2"/>
  <c r="J126" i="2" s="1"/>
  <c r="G33" i="2" l="1"/>
  <c r="G61" i="2" s="1"/>
  <c r="D89" i="2" l="1"/>
  <c r="A1" i="2" l="1"/>
  <c r="C120" i="2" l="1"/>
  <c r="C121" i="2"/>
  <c r="C119" i="2"/>
  <c r="C118" i="2"/>
  <c r="L113" i="2" l="1"/>
  <c r="M113" i="2" s="1"/>
  <c r="L115" i="2"/>
  <c r="M115" i="2" s="1"/>
  <c r="I115" i="2"/>
  <c r="J115" i="2" s="1"/>
  <c r="L114" i="2"/>
  <c r="M114" i="2" s="1"/>
  <c r="I114" i="2"/>
  <c r="J114" i="2" s="1"/>
  <c r="I113" i="2" l="1"/>
  <c r="J113" i="2" s="1"/>
  <c r="E77" i="2" l="1"/>
  <c r="F77" i="2"/>
  <c r="G77" i="2"/>
  <c r="D77" i="2"/>
  <c r="L10" i="2"/>
  <c r="E61" i="2"/>
  <c r="D13" i="2"/>
  <c r="D33" i="2"/>
  <c r="D39" i="2"/>
  <c r="D54" i="2"/>
  <c r="D61" i="2"/>
  <c r="D69" i="2"/>
  <c r="D81" i="2"/>
  <c r="D93" i="2"/>
  <c r="D29" i="2" l="1"/>
  <c r="L101" i="2"/>
  <c r="M101" i="2" s="1"/>
  <c r="I101" i="2"/>
  <c r="J101" i="2" s="1"/>
  <c r="L100" i="2"/>
  <c r="M100" i="2" s="1"/>
  <c r="I100" i="2"/>
  <c r="J100" i="2" s="1"/>
  <c r="L99" i="2"/>
  <c r="M99" i="2" s="1"/>
  <c r="I99" i="2"/>
  <c r="J99" i="2" s="1"/>
  <c r="L86" i="2"/>
  <c r="M86" i="2" s="1"/>
  <c r="I86" i="2"/>
  <c r="J86" i="2" s="1"/>
  <c r="L85" i="2"/>
  <c r="M85" i="2" s="1"/>
  <c r="I85" i="2"/>
  <c r="J85" i="2" s="1"/>
  <c r="L84" i="2"/>
  <c r="M84" i="2" s="1"/>
  <c r="I84" i="2"/>
  <c r="J84" i="2" s="1"/>
  <c r="E89" i="2"/>
  <c r="F89" i="2"/>
  <c r="L72" i="2"/>
  <c r="M72" i="2" s="1"/>
  <c r="L73" i="2"/>
  <c r="M73" i="2" s="1"/>
  <c r="L74" i="2"/>
  <c r="M74" i="2" s="1"/>
  <c r="L71" i="2"/>
  <c r="M71" i="2" s="1"/>
  <c r="I49" i="2"/>
  <c r="J49" i="2" s="1"/>
  <c r="L49" i="2"/>
  <c r="M49" i="2" s="1"/>
  <c r="I43" i="2"/>
  <c r="J43" i="2" s="1"/>
  <c r="L43" i="2"/>
  <c r="M43" i="2" s="1"/>
  <c r="I44" i="2"/>
  <c r="J44" i="2" s="1"/>
  <c r="L44" i="2"/>
  <c r="M44" i="2" s="1"/>
  <c r="I45" i="2"/>
  <c r="J45" i="2" s="1"/>
  <c r="L45" i="2"/>
  <c r="M45" i="2" s="1"/>
  <c r="I46" i="2"/>
  <c r="J46" i="2" s="1"/>
  <c r="L46" i="2"/>
  <c r="M46" i="2" s="1"/>
  <c r="I50" i="2"/>
  <c r="J50" i="2" s="1"/>
  <c r="L50" i="2"/>
  <c r="M50" i="2" s="1"/>
  <c r="I51" i="2"/>
  <c r="J51" i="2" s="1"/>
  <c r="L51" i="2"/>
  <c r="M51" i="2" s="1"/>
  <c r="I52" i="2"/>
  <c r="J52" i="2" s="1"/>
  <c r="L52" i="2"/>
  <c r="M52" i="2" s="1"/>
  <c r="I53" i="2"/>
  <c r="J53" i="2" s="1"/>
  <c r="L53" i="2"/>
  <c r="M53" i="2" s="1"/>
  <c r="I56" i="2"/>
  <c r="J56" i="2" s="1"/>
  <c r="L56" i="2"/>
  <c r="M56" i="2" s="1"/>
  <c r="I57" i="2"/>
  <c r="J57" i="2" s="1"/>
  <c r="L57" i="2"/>
  <c r="M57" i="2" s="1"/>
  <c r="I58" i="2"/>
  <c r="J58" i="2" s="1"/>
  <c r="L58" i="2"/>
  <c r="M58" i="2" s="1"/>
  <c r="I59" i="2"/>
  <c r="J59" i="2" s="1"/>
  <c r="L59" i="2"/>
  <c r="M59" i="2" s="1"/>
  <c r="I60" i="2"/>
  <c r="J60" i="2" s="1"/>
  <c r="L60" i="2"/>
  <c r="M60" i="2" s="1"/>
  <c r="E54" i="2"/>
  <c r="E69" i="2"/>
  <c r="E33" i="2"/>
  <c r="L32" i="2"/>
  <c r="M32" i="2" s="1"/>
  <c r="I32" i="2"/>
  <c r="J32" i="2" s="1"/>
  <c r="L31" i="2"/>
  <c r="M31" i="2" s="1"/>
  <c r="I31" i="2"/>
  <c r="J31" i="2" s="1"/>
  <c r="L18" i="2"/>
  <c r="M18" i="2" s="1"/>
  <c r="I18" i="2"/>
  <c r="J18" i="2" s="1"/>
  <c r="L17" i="2"/>
  <c r="M17" i="2" s="1"/>
  <c r="I17" i="2"/>
  <c r="J17" i="2" s="1"/>
  <c r="L16" i="2"/>
  <c r="M16" i="2" s="1"/>
  <c r="I16" i="2"/>
  <c r="J16" i="2" s="1"/>
  <c r="L15" i="2"/>
  <c r="M15" i="2" s="1"/>
  <c r="I15" i="2"/>
  <c r="J15" i="2" s="1"/>
  <c r="L11" i="2"/>
  <c r="M11" i="2" s="1"/>
  <c r="L12" i="2"/>
  <c r="M12" i="2" s="1"/>
  <c r="I11" i="2"/>
  <c r="J11" i="2" s="1"/>
  <c r="I12" i="2"/>
  <c r="J12" i="2" s="1"/>
  <c r="M10" i="2"/>
  <c r="I10" i="2"/>
  <c r="L93" i="2"/>
  <c r="L81" i="2"/>
  <c r="L69" i="2"/>
  <c r="L39" i="2"/>
  <c r="I74" i="2"/>
  <c r="J74" i="2" s="1"/>
  <c r="I73" i="2"/>
  <c r="J73" i="2" s="1"/>
  <c r="I72" i="2"/>
  <c r="J72" i="2" s="1"/>
  <c r="I71" i="2"/>
  <c r="J71" i="2" s="1"/>
  <c r="E93" i="2"/>
  <c r="E81" i="2"/>
  <c r="E39" i="2"/>
  <c r="E29" i="2" l="1"/>
  <c r="E35" i="2" s="1"/>
  <c r="D35" i="2"/>
  <c r="D41" i="2" s="1"/>
  <c r="D47" i="2" s="1"/>
  <c r="D63" i="2" s="1"/>
  <c r="I93" i="2"/>
  <c r="G93" i="2"/>
  <c r="F93" i="2"/>
  <c r="I81" i="2"/>
  <c r="G81" i="2"/>
  <c r="F81" i="2"/>
  <c r="I69" i="2"/>
  <c r="G69" i="2"/>
  <c r="F69" i="2"/>
  <c r="F39" i="2"/>
  <c r="G39" i="2"/>
  <c r="I39" i="2"/>
  <c r="J10" i="2"/>
  <c r="D65" i="2" l="1"/>
  <c r="E64" i="2" s="1"/>
  <c r="E65" i="2" s="1"/>
  <c r="F64" i="2" s="1"/>
  <c r="E47" i="2"/>
  <c r="E63" i="2" s="1"/>
  <c r="F54" i="2"/>
  <c r="G54" i="2"/>
  <c r="L54" i="2" l="1"/>
  <c r="M54" i="2" s="1"/>
  <c r="I54" i="2"/>
  <c r="J54" i="2" s="1"/>
  <c r="F61" i="2"/>
  <c r="L42" i="2"/>
  <c r="M42" i="2" s="1"/>
  <c r="L33" i="2"/>
  <c r="M33" i="2" s="1"/>
  <c r="F33" i="2"/>
  <c r="G29" i="2"/>
  <c r="L13" i="2"/>
  <c r="M13" i="2" s="1"/>
  <c r="F13" i="2"/>
  <c r="F29" i="2" l="1"/>
  <c r="F35" i="2" s="1"/>
  <c r="L27" i="2"/>
  <c r="M27" i="2" s="1"/>
  <c r="G35" i="2"/>
  <c r="G41" i="2" s="1"/>
  <c r="L61" i="2"/>
  <c r="M61" i="2" s="1"/>
  <c r="I61" i="2"/>
  <c r="J61" i="2" s="1"/>
  <c r="I33" i="2"/>
  <c r="J33" i="2" s="1"/>
  <c r="I42" i="2"/>
  <c r="J42" i="2" s="1"/>
  <c r="I27" i="2"/>
  <c r="J27" i="2" s="1"/>
  <c r="I13" i="2"/>
  <c r="J13" i="2" s="1"/>
  <c r="I89" i="2"/>
  <c r="J89" i="2" s="1"/>
  <c r="L89" i="2"/>
  <c r="M89" i="2" s="1"/>
  <c r="F41" i="2" l="1"/>
  <c r="L35" i="2"/>
  <c r="M35" i="2" s="1"/>
  <c r="I29" i="2"/>
  <c r="J29" i="2" s="1"/>
  <c r="L29" i="2" s="1"/>
  <c r="M29" i="2" s="1"/>
  <c r="I35" i="2" l="1"/>
  <c r="F47" i="2"/>
  <c r="F63" i="2" s="1"/>
  <c r="F65" i="2" s="1"/>
  <c r="I41" i="2"/>
  <c r="J41" i="2" s="1"/>
  <c r="G47" i="2" l="1"/>
  <c r="L41" i="2"/>
  <c r="M41" i="2" s="1"/>
  <c r="G63" i="2" l="1"/>
  <c r="G65" i="2" s="1"/>
  <c r="L47" i="2"/>
  <c r="M47" i="2" s="1"/>
  <c r="I47" i="2"/>
  <c r="J47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Annveig Broen</author>
    <author>atruud</author>
  </authors>
  <commentList>
    <comment ref="D39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Annveig Broen:</t>
        </r>
        <r>
          <rPr>
            <sz val="9"/>
            <color indexed="81"/>
            <rFont val="Tahoma"/>
            <family val="2"/>
          </rPr>
          <t xml:space="preserve">
Regnskap</t>
        </r>
      </text>
    </comment>
    <comment ref="B46" authorId="1" shapeId="0" xr:uid="{00000000-0006-0000-0100-000003000000}">
      <text>
        <r>
          <rPr>
            <sz val="9"/>
            <color indexed="81"/>
            <rFont val="Tahoma"/>
            <family val="2"/>
          </rPr>
          <t>Benyttes dersom linjer over ikke er tilstrekkelig</t>
        </r>
      </text>
    </comment>
    <comment ref="B49" authorId="1" shapeId="0" xr:uid="{00000000-0006-0000-0100-000004000000}">
      <text>
        <r>
          <rPr>
            <sz val="9"/>
            <color indexed="81"/>
            <rFont val="Tahoma"/>
            <family val="2"/>
          </rPr>
          <t>Se eget oppsett over investeringer under</t>
        </r>
      </text>
    </comment>
    <comment ref="B50" authorId="1" shapeId="0" xr:uid="{00000000-0006-0000-0100-000005000000}">
      <text>
        <r>
          <rPr>
            <sz val="9"/>
            <color indexed="81"/>
            <rFont val="Tahoma"/>
            <family val="2"/>
          </rPr>
          <t>Se eget oppsett over investeringer under</t>
        </r>
      </text>
    </comment>
    <comment ref="B51" authorId="1" shapeId="0" xr:uid="{00000000-0006-0000-0100-000006000000}">
      <text>
        <r>
          <rPr>
            <sz val="9"/>
            <color indexed="81"/>
            <rFont val="Tahoma"/>
            <family val="2"/>
          </rPr>
          <t>Se eget oppsett over investeringer under</t>
        </r>
      </text>
    </comment>
    <comment ref="B60" authorId="1" shapeId="0" xr:uid="{00000000-0006-0000-0100-000008000000}">
      <text>
        <r>
          <rPr>
            <sz val="9"/>
            <color indexed="81"/>
            <rFont val="Tahoma"/>
            <family val="2"/>
          </rPr>
          <t>Benyttes dersom linjer over ikke er tilstrekkelig</t>
        </r>
      </text>
    </comment>
    <comment ref="B86" authorId="1" shapeId="0" xr:uid="{00000000-0006-0000-0100-00000B000000}">
      <text>
        <r>
          <rPr>
            <sz val="9"/>
            <color indexed="81"/>
            <rFont val="Tahoma"/>
            <family val="2"/>
          </rPr>
          <t>Benyttes dersom linjer over ikke tilstrekkelig</t>
        </r>
      </text>
    </comment>
  </commentList>
</comments>
</file>

<file path=xl/sharedStrings.xml><?xml version="1.0" encoding="utf-8"?>
<sst xmlns="http://schemas.openxmlformats.org/spreadsheetml/2006/main" count="142" uniqueCount="85">
  <si>
    <t>Budsjett 2025</t>
  </si>
  <si>
    <t>Beskrivelse av forutsetninger</t>
  </si>
  <si>
    <t>Selskapsnavn:</t>
  </si>
  <si>
    <t>HDO HF</t>
  </si>
  <si>
    <t>Rapporteringsmal nasjonale felleseide selskaper</t>
  </si>
  <si>
    <t>Helsetjenestens driftsorganisasjon HF</t>
  </si>
  <si>
    <t>Resultat</t>
  </si>
  <si>
    <t>Tall i 1000 NOK</t>
  </si>
  <si>
    <t>F 2023</t>
  </si>
  <si>
    <t>B 2024</t>
  </si>
  <si>
    <t>ØLP 2025</t>
  </si>
  <si>
    <t>B2025</t>
  </si>
  <si>
    <t>∆ B2025 vs ØLP2025</t>
  </si>
  <si>
    <t>∆ B2025 vs B2024</t>
  </si>
  <si>
    <t>Kommentar</t>
  </si>
  <si>
    <t xml:space="preserve">Tilskudd fra RHF </t>
  </si>
  <si>
    <t>Andre inntekter</t>
  </si>
  <si>
    <t>Økning fra ØLP da kommunene har økt andel på operatørplasser</t>
  </si>
  <si>
    <t>Sum driftsinntekter</t>
  </si>
  <si>
    <t>Varekostnad/-forbruk</t>
  </si>
  <si>
    <t>Lønnskostnad</t>
  </si>
  <si>
    <t>Ordinære avskrivninger</t>
  </si>
  <si>
    <t>Nedskrivning</t>
  </si>
  <si>
    <t>Andre driftskostnader</t>
  </si>
  <si>
    <t>- herav husleie, renhold mm</t>
  </si>
  <si>
    <t>- herav energikostnader</t>
  </si>
  <si>
    <t>- herav konsulenter, eksterne tjenester</t>
  </si>
  <si>
    <t>- herav møte- og reisekostnader</t>
  </si>
  <si>
    <t>- herav lisenskostnader</t>
  </si>
  <si>
    <t xml:space="preserve">- herav mva andel til kommuner </t>
  </si>
  <si>
    <t>- herav øvrige driftskostnader</t>
  </si>
  <si>
    <t>Sum driftskostnader</t>
  </si>
  <si>
    <t>Driftsresultat</t>
  </si>
  <si>
    <t>Finansinntekt (+)</t>
  </si>
  <si>
    <t>Finanskostnad (-)</t>
  </si>
  <si>
    <t>Sum finansposter</t>
  </si>
  <si>
    <t>Kontantstrøm</t>
  </si>
  <si>
    <t>Avskrivninger og nedskrivninger</t>
  </si>
  <si>
    <t>Tap/gevinst ved salg anleggsmidler</t>
  </si>
  <si>
    <t>Endring arbeidskapital</t>
  </si>
  <si>
    <t>Forskjell kostnadsf pensjon og inn/utbet</t>
  </si>
  <si>
    <t>Ekstra linje</t>
  </si>
  <si>
    <t>Kontantstrøm fra drift</t>
  </si>
  <si>
    <t>Investering i bygg</t>
  </si>
  <si>
    <t>Investering i IKT</t>
  </si>
  <si>
    <t>Nytt nødnett</t>
  </si>
  <si>
    <t>Kommunikasjonsløsning</t>
  </si>
  <si>
    <t>Nye satsinger</t>
  </si>
  <si>
    <t>Kontantstrøm fra investeringer</t>
  </si>
  <si>
    <t>Langsiktige låneopptak</t>
  </si>
  <si>
    <t>Avdragsbetaling</t>
  </si>
  <si>
    <t>Endring øvrige langsiktige forpliktelser</t>
  </si>
  <si>
    <t>Øvrige finansieringsposter</t>
  </si>
  <si>
    <t>Innbetaling av egenkapital</t>
  </si>
  <si>
    <t>Kontantstrøm fra finansiering</t>
  </si>
  <si>
    <t>Total endring kontantstrøm</t>
  </si>
  <si>
    <t>IB likviditetsbeholdning pr 01.01</t>
  </si>
  <si>
    <t xml:space="preserve">IB 2025 er beregnet med utgangspunkt i likviditetsprognose pr juli 2024 </t>
  </si>
  <si>
    <t>UB likviditetsbeholdning pr 31.12</t>
  </si>
  <si>
    <t>Fordeling driftstilskudd (driftsinntekter)</t>
  </si>
  <si>
    <t>Helse Sør-Øst RHF</t>
  </si>
  <si>
    <t xml:space="preserve">Forvaltningskostnader  for RHF er fordelt med samme fordeling som i budsjett 2024 </t>
  </si>
  <si>
    <t>Helse Vest RHF</t>
  </si>
  <si>
    <t>Helse Midt RHF</t>
  </si>
  <si>
    <t>Helse Nord RHF</t>
  </si>
  <si>
    <t>Kommune helsetjenesten</t>
  </si>
  <si>
    <t>Andre</t>
  </si>
  <si>
    <t>Sum driftstilskudd</t>
  </si>
  <si>
    <t>Investeringer</t>
  </si>
  <si>
    <t>Sum investeringer</t>
  </si>
  <si>
    <t/>
  </si>
  <si>
    <t>Lånefinansiering</t>
  </si>
  <si>
    <t>Eksisterende lån  2020</t>
  </si>
  <si>
    <t>Hovedstol</t>
  </si>
  <si>
    <t>UB lånesaldo</t>
  </si>
  <si>
    <t>Avdrag</t>
  </si>
  <si>
    <t>Renter</t>
  </si>
  <si>
    <t>Fordeling av lån fra RHF (%)</t>
  </si>
  <si>
    <t xml:space="preserve">Eksisterende lån  2021 </t>
  </si>
  <si>
    <t>Nytt lån  2022 (5 år)</t>
  </si>
  <si>
    <t>Nytt lån  2024 (5 år)</t>
  </si>
  <si>
    <t>Avdragstid 5 år og første avdrag i 2025</t>
  </si>
  <si>
    <t>Nytt lån  2025 (5 år)</t>
  </si>
  <si>
    <t>Avdragstid 5 år og første avdrag i 2026</t>
  </si>
  <si>
    <t>Lånet utbetales med 80 mnok i juni og 40 mnok i 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</si>
</sst>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_ ;_ * \-#,##0_ ;_ * &quot;-&quot;_ ;_ @_ "/>
    <numFmt numFmtId="165" formatCode="_ * #,##0.00_ ;_ * \-#,##0.00_ ;_ * &quot;-&quot;??_ ;_ @_ "/>
    <numFmt numFmtId="166" formatCode="_ * #,##0_ ;_ * \-#,##0_ ;_ * &quot;-&quot;??_ ;_ @_ "/>
  </numFmts>
  <fonts count="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1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4" tint="-0.499984740745262"/>
      <name val="Calibri"/>
      <family val="2"/>
      <scheme val="minor"/>
    </font>
    <font>
      <i/>
      <sz val="8"/>
      <color rgb="FFFF0000"/>
      <name val="Calibri"/>
      <family val="2"/>
      <scheme val="minor"/>
    </font>
    <font>
      <sz val="8"/>
      <name val="Times New Roman"/>
      <family val="1"/>
    </font>
    <font>
      <sz val="8"/>
      <name val="Calibri"/>
      <family val="2"/>
    </font>
    <font>
      <b/>
      <sz val="8"/>
      <name val="Times New Roman"/>
      <family val="1"/>
    </font>
    <font>
      <sz val="8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sz val="8"/>
      <color theme="1"/>
      <name val="Times New Roman"/>
      <family val="1"/>
    </font>
    <font>
      <sz val="8"/>
      <color rgb="FFFF0000"/>
      <name val="Calibri"/>
      <family val="2"/>
      <scheme val="minor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8"/>
      <color rgb="FFFF0000"/>
      <name val="Times New Roman"/>
      <family val="1"/>
    </font>
    <font>
      <sz val="10"/>
      <color indexed="0"/>
      <name val="Courier"/>
      <family val="3"/>
    </font>
  </fonts>
  <fills count="8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theme="4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9">
    <xf numFmtId="0" fontId="0" fillId="0" borderId="0"/>
    <xf numFmtId="0" fontId="8" fillId="0" borderId="0"/>
    <xf numFmtId="165" fontId="9" fillId="0" borderId="0" applyFont="0" applyFill="0" applyBorder="0" applyAlignment="0" applyProtection="0"/>
    <xf numFmtId="0" fontId="10" fillId="0" borderId="0"/>
    <xf numFmtId="9" fontId="14" fillId="0" borderId="0" applyFont="0" applyFill="0" applyBorder="0" applyAlignment="0" applyProtection="0"/>
    <xf numFmtId="0" fontId="14" fillId="0" borderId="0"/>
    <xf numFmtId="165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4" fillId="0" borderId="0"/>
  </cellStyleXfs>
  <cellXfs count="84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0" fillId="2" borderId="0" xfId="0" applyFill="1"/>
    <xf numFmtId="0" fontId="1" fillId="3" borderId="0" xfId="0" applyFont="1" applyFill="1"/>
    <xf numFmtId="0" fontId="0" fillId="4" borderId="0" xfId="0" applyFill="1"/>
    <xf numFmtId="0" fontId="1" fillId="4" borderId="0" xfId="0" applyFont="1" applyFill="1"/>
    <xf numFmtId="0" fontId="1" fillId="0" borderId="0" xfId="0" applyFont="1"/>
    <xf numFmtId="0" fontId="5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164" fontId="0" fillId="0" borderId="0" xfId="0" applyNumberFormat="1"/>
    <xf numFmtId="164" fontId="0" fillId="5" borderId="2" xfId="0" applyNumberFormat="1" applyFill="1" applyBorder="1"/>
    <xf numFmtId="164" fontId="0" fillId="5" borderId="3" xfId="0" applyNumberFormat="1" applyFill="1" applyBorder="1"/>
    <xf numFmtId="164" fontId="7" fillId="0" borderId="0" xfId="0" applyNumberFormat="1" applyFont="1"/>
    <xf numFmtId="164" fontId="1" fillId="0" borderId="4" xfId="0" applyNumberFormat="1" applyFont="1" applyBorder="1"/>
    <xf numFmtId="164" fontId="1" fillId="0" borderId="0" xfId="0" applyNumberFormat="1" applyFont="1"/>
    <xf numFmtId="164" fontId="1" fillId="0" borderId="5" xfId="0" applyNumberFormat="1" applyFont="1" applyBorder="1"/>
    <xf numFmtId="164" fontId="1" fillId="0" borderId="6" xfId="0" applyNumberFormat="1" applyFont="1" applyBorder="1"/>
    <xf numFmtId="0" fontId="1" fillId="0" borderId="4" xfId="0" applyFont="1" applyBorder="1"/>
    <xf numFmtId="0" fontId="0" fillId="0" borderId="4" xfId="0" applyBorder="1"/>
    <xf numFmtId="164" fontId="0" fillId="0" borderId="4" xfId="0" applyNumberFormat="1" applyBorder="1"/>
    <xf numFmtId="0" fontId="11" fillId="0" borderId="0" xfId="0" applyFont="1"/>
    <xf numFmtId="0" fontId="0" fillId="0" borderId="0" xfId="0" quotePrefix="1"/>
    <xf numFmtId="0" fontId="11" fillId="0" borderId="7" xfId="0" applyFont="1" applyBorder="1"/>
    <xf numFmtId="0" fontId="0" fillId="0" borderId="7" xfId="0" applyBorder="1"/>
    <xf numFmtId="164" fontId="0" fillId="5" borderId="8" xfId="0" applyNumberFormat="1" applyFill="1" applyBorder="1"/>
    <xf numFmtId="0" fontId="12" fillId="0" borderId="0" xfId="0" applyFont="1"/>
    <xf numFmtId="164" fontId="0" fillId="0" borderId="2" xfId="0" applyNumberFormat="1" applyBorder="1"/>
    <xf numFmtId="164" fontId="0" fillId="0" borderId="3" xfId="0" applyNumberFormat="1" applyBorder="1"/>
    <xf numFmtId="9" fontId="0" fillId="0" borderId="2" xfId="4" applyFont="1" applyFill="1" applyBorder="1"/>
    <xf numFmtId="0" fontId="6" fillId="0" borderId="1" xfId="0" applyFont="1" applyBorder="1"/>
    <xf numFmtId="0" fontId="3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  <xf numFmtId="0" fontId="0" fillId="4" borderId="0" xfId="0" applyFill="1" applyAlignment="1">
      <alignment horizontal="left"/>
    </xf>
    <xf numFmtId="164" fontId="0" fillId="0" borderId="0" xfId="0" applyNumberFormat="1" applyAlignment="1">
      <alignment horizontal="left"/>
    </xf>
    <xf numFmtId="164" fontId="1" fillId="0" borderId="4" xfId="0" applyNumberFormat="1" applyFont="1" applyBorder="1" applyAlignment="1">
      <alignment horizontal="left"/>
    </xf>
    <xf numFmtId="0" fontId="0" fillId="0" borderId="7" xfId="0" applyBorder="1" applyAlignment="1">
      <alignment horizontal="left"/>
    </xf>
    <xf numFmtId="164" fontId="15" fillId="0" borderId="2" xfId="0" applyNumberFormat="1" applyFont="1" applyBorder="1" applyAlignment="1">
      <alignment horizontal="left"/>
    </xf>
    <xf numFmtId="9" fontId="15" fillId="0" borderId="2" xfId="4" applyFont="1" applyFill="1" applyBorder="1"/>
    <xf numFmtId="164" fontId="15" fillId="0" borderId="3" xfId="0" applyNumberFormat="1" applyFont="1" applyBorder="1" applyAlignment="1">
      <alignment horizontal="left"/>
    </xf>
    <xf numFmtId="164" fontId="16" fillId="0" borderId="4" xfId="0" applyNumberFormat="1" applyFont="1" applyBorder="1" applyAlignment="1">
      <alignment horizontal="left"/>
    </xf>
    <xf numFmtId="9" fontId="16" fillId="0" borderId="4" xfId="4" applyFont="1" applyFill="1" applyBorder="1"/>
    <xf numFmtId="164" fontId="15" fillId="0" borderId="0" xfId="0" applyNumberFormat="1" applyFont="1" applyAlignment="1">
      <alignment horizontal="left"/>
    </xf>
    <xf numFmtId="9" fontId="15" fillId="0" borderId="0" xfId="4" applyFont="1" applyFill="1"/>
    <xf numFmtId="9" fontId="15" fillId="0" borderId="3" xfId="4" applyFont="1" applyFill="1" applyBorder="1"/>
    <xf numFmtId="9" fontId="15" fillId="0" borderId="0" xfId="4" applyFont="1" applyFill="1" applyBorder="1"/>
    <xf numFmtId="9" fontId="15" fillId="0" borderId="0" xfId="4" applyFont="1" applyBorder="1"/>
    <xf numFmtId="9" fontId="16" fillId="0" borderId="9" xfId="4" applyFont="1" applyFill="1" applyBorder="1"/>
    <xf numFmtId="164" fontId="16" fillId="0" borderId="9" xfId="0" applyNumberFormat="1" applyFont="1" applyBorder="1" applyAlignment="1">
      <alignment horizontal="left"/>
    </xf>
    <xf numFmtId="164" fontId="1" fillId="0" borderId="9" xfId="0" applyNumberFormat="1" applyFont="1" applyBorder="1"/>
    <xf numFmtId="164" fontId="16" fillId="0" borderId="5" xfId="0" applyNumberFormat="1" applyFont="1" applyBorder="1" applyAlignment="1">
      <alignment horizontal="left"/>
    </xf>
    <xf numFmtId="9" fontId="16" fillId="0" borderId="5" xfId="4" applyFont="1" applyFill="1" applyBorder="1"/>
    <xf numFmtId="164" fontId="15" fillId="0" borderId="10" xfId="0" applyNumberFormat="1" applyFont="1" applyBorder="1" applyAlignment="1">
      <alignment horizontal="left"/>
    </xf>
    <xf numFmtId="9" fontId="15" fillId="0" borderId="10" xfId="4" applyFont="1" applyFill="1" applyBorder="1"/>
    <xf numFmtId="164" fontId="0" fillId="0" borderId="8" xfId="0" applyNumberFormat="1" applyBorder="1"/>
    <xf numFmtId="0" fontId="17" fillId="0" borderId="0" xfId="0" applyFont="1"/>
    <xf numFmtId="0" fontId="19" fillId="2" borderId="0" xfId="0" applyFont="1" applyFill="1"/>
    <xf numFmtId="0" fontId="20" fillId="2" borderId="0" xfId="0" applyFont="1" applyFill="1"/>
    <xf numFmtId="0" fontId="20" fillId="0" borderId="0" xfId="0" applyFont="1"/>
    <xf numFmtId="0" fontId="20" fillId="4" borderId="0" xfId="0" applyFont="1" applyFill="1"/>
    <xf numFmtId="0" fontId="21" fillId="0" borderId="1" xfId="0" applyFont="1" applyBorder="1" applyAlignment="1">
      <alignment horizontal="left"/>
    </xf>
    <xf numFmtId="0" fontId="22" fillId="0" borderId="0" xfId="0" applyFont="1"/>
    <xf numFmtId="38" fontId="23" fillId="0" borderId="0" xfId="1" applyNumberFormat="1" applyFont="1"/>
    <xf numFmtId="38" fontId="23" fillId="0" borderId="0" xfId="1" applyNumberFormat="1" applyFont="1" applyAlignment="1">
      <alignment wrapText="1"/>
    </xf>
    <xf numFmtId="38" fontId="24" fillId="0" borderId="0" xfId="1" applyNumberFormat="1" applyFont="1"/>
    <xf numFmtId="38" fontId="25" fillId="0" borderId="0" xfId="1" applyNumberFormat="1" applyFont="1"/>
    <xf numFmtId="166" fontId="26" fillId="0" borderId="0" xfId="2" applyNumberFormat="1" applyFont="1" applyFill="1" applyBorder="1" applyAlignment="1" applyProtection="1">
      <alignment wrapText="1"/>
    </xf>
    <xf numFmtId="0" fontId="27" fillId="0" borderId="0" xfId="3" applyFont="1"/>
    <xf numFmtId="166" fontId="28" fillId="0" borderId="0" xfId="2" applyNumberFormat="1" applyFont="1" applyFill="1" applyBorder="1" applyAlignment="1" applyProtection="1">
      <alignment horizontal="left"/>
    </xf>
    <xf numFmtId="38" fontId="25" fillId="0" borderId="0" xfId="1" quotePrefix="1" applyNumberFormat="1" applyFont="1" applyAlignment="1">
      <alignment wrapText="1"/>
    </xf>
    <xf numFmtId="0" fontId="20" fillId="0" borderId="0" xfId="0" applyFont="1" applyAlignment="1">
      <alignment wrapText="1"/>
    </xf>
    <xf numFmtId="0" fontId="29" fillId="0" borderId="0" xfId="1" applyFont="1" applyAlignment="1">
      <alignment wrapText="1"/>
    </xf>
    <xf numFmtId="0" fontId="30" fillId="0" borderId="0" xfId="0" applyFont="1"/>
    <xf numFmtId="0" fontId="31" fillId="0" borderId="0" xfId="3" applyFont="1"/>
    <xf numFmtId="166" fontId="32" fillId="0" borderId="0" xfId="2" applyNumberFormat="1" applyFont="1" applyFill="1" applyBorder="1" applyAlignment="1" applyProtection="1">
      <alignment horizontal="left"/>
    </xf>
    <xf numFmtId="38" fontId="33" fillId="0" borderId="0" xfId="1" applyNumberFormat="1" applyFont="1" applyAlignment="1">
      <alignment wrapText="1"/>
    </xf>
    <xf numFmtId="166" fontId="31" fillId="0" borderId="0" xfId="2" applyNumberFormat="1" applyFont="1" applyFill="1" applyBorder="1" applyAlignment="1" applyProtection="1">
      <alignment wrapText="1"/>
    </xf>
    <xf numFmtId="164" fontId="0" fillId="4" borderId="0" xfId="0" applyNumberFormat="1" applyFill="1"/>
    <xf numFmtId="10" fontId="0" fillId="7" borderId="0" xfId="0" applyNumberFormat="1" applyFill="1"/>
    <xf numFmtId="164" fontId="12" fillId="0" borderId="0" xfId="0" applyNumberFormat="1" applyFont="1"/>
    <xf numFmtId="0" fontId="1" fillId="6" borderId="0" xfId="0" applyFont="1" applyFill="1" applyAlignment="1">
      <alignment horizontal="left"/>
    </xf>
  </cellXfs>
  <cellStyles count="9">
    <cellStyle name="Comma 2" xfId="6" xr:uid="{00000000-0005-0000-0000-000000000000}"/>
    <cellStyle name="Comma 3 3" xfId="2" xr:uid="{00000000-0005-0000-0000-000001000000}"/>
    <cellStyle name="Normal" xfId="0" builtinId="0"/>
    <cellStyle name="Normal 2" xfId="5" xr:uid="{00000000-0005-0000-0000-000003000000}"/>
    <cellStyle name="Normal 2 2 2" xfId="1" xr:uid="{00000000-0005-0000-0000-000004000000}"/>
    <cellStyle name="Normal 4 2 2 2" xfId="3" xr:uid="{00000000-0005-0000-0000-000005000000}"/>
    <cellStyle name="Normal 5" xfId="8" xr:uid="{3BFE73C8-C32C-4718-97A1-433BDC730578}"/>
    <cellStyle name="Percent 2" xfId="7" xr:uid="{00000000-0005-0000-0000-000006000000}"/>
    <cellStyle name="Pros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15</xdr:row>
      <xdr:rowOff>104775</xdr:rowOff>
    </xdr:from>
    <xdr:to>
      <xdr:col>18</xdr:col>
      <xdr:colOff>7620</xdr:colOff>
      <xdr:row>71</xdr:row>
      <xdr:rowOff>7620</xdr:rowOff>
    </xdr:to>
    <xdr:sp macro="" textlink="">
      <xdr:nvSpPr>
        <xdr:cNvPr id="12" name="TekstSylinde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750" y="2116455"/>
          <a:ext cx="12843510" cy="1014412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600" b="1" u="none"/>
            <a:t>Kort beskrivelse av forutsetninger</a:t>
          </a:r>
          <a:r>
            <a:rPr lang="nb-NO" sz="1600" b="1" u="none" baseline="0"/>
            <a:t> som ligger til grunn for budsjett 2025 </a:t>
          </a:r>
          <a:r>
            <a:rPr lang="nb-NO" sz="1600" b="1" u="none" baseline="0">
              <a:solidFill>
                <a:schemeClr val="dk1"/>
              </a:solidFill>
              <a:latin typeface="+mn-lt"/>
              <a:ea typeface="+mn-ea"/>
              <a:cs typeface="+mn-cs"/>
            </a:rPr>
            <a:t>- Fylles ut av foretaket</a:t>
          </a:r>
        </a:p>
        <a:p>
          <a:endParaRPr lang="nb-NO" sz="1100" b="1" u="sng"/>
        </a:p>
        <a:p>
          <a:r>
            <a:rPr lang="nb-NO" sz="1100" b="1" u="sng"/>
            <a:t>Inntekter:</a:t>
          </a:r>
        </a:p>
        <a:p>
          <a:pPr eaLnBrk="1" fontAlgn="auto" latinLnBrk="0" hangingPunct="1"/>
          <a:r>
            <a:rPr lang="nb-NO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Prinsippene fra oppdragsdokumentet for HDO HF for 2017 vedrørende brukerfinansiering er gjeldene for budsjett 2025.</a:t>
          </a:r>
          <a:endParaRPr lang="nb-NO">
            <a:effectLst/>
          </a:endParaRPr>
        </a:p>
        <a:p>
          <a:r>
            <a:rPr lang="nb-NO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Helsetjenestens driftsorganisasjon for nødnett HF finansieres av spesialisthelsetjenesten ved de regionale helseforetakene og kommunehelsetjenesten. Finansieringen fordeles delvis etter antall operatørplasser, og delvis nasjonal inntektsmodell.</a:t>
          </a:r>
          <a:endParaRPr lang="nb-NO">
            <a:effectLst/>
          </a:endParaRPr>
        </a:p>
        <a:p>
          <a:pPr eaLnBrk="1" fontAlgn="auto" latinLnBrk="0" hangingPunct="1"/>
          <a:r>
            <a:rPr lang="nb-NO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Driftskostnader som er direkte tilknyttet driften av nødnett  fordeles mellom antall operatørplasser på AMK-, akuttmottak og legevaktsentralrer. Prisen pr. operatørplass fastsettes ut fra en vekting av kostnaden pr. plass.</a:t>
          </a:r>
          <a:endParaRPr lang="nb-NO">
            <a:effectLst/>
          </a:endParaRPr>
        </a:p>
        <a:p>
          <a:pPr eaLnBrk="1" fontAlgn="auto" latinLnBrk="0" hangingPunct="1"/>
          <a:r>
            <a:rPr lang="nb-NO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Fordeling av forvaltninskostnader er basert på 2024 fordelingen av operatørplasser, som er 55% til kommuner og 45% til RHF'er. Forvaltninskostandene fordeles til RHF basert basert på Magnussenmodellen, og fordelingen i budsjett 2025 tar utgangspunkt i fordelingen fra budsjett 2024.</a:t>
          </a:r>
          <a:endParaRPr lang="nb-NO">
            <a:effectLst/>
          </a:endParaRPr>
        </a:p>
        <a:p>
          <a:pPr eaLnBrk="1" fontAlgn="auto" latinLnBrk="0" hangingPunct="1"/>
          <a:r>
            <a:rPr lang="nb-NO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Tilleggstjenester budsjetteres de enkelte brukere og går til fradrag før fordeling av drift og forvaltningsinntekter.</a:t>
          </a:r>
          <a:endParaRPr lang="nb-NO">
            <a:effectLst/>
          </a:endParaRPr>
        </a:p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Inntekter inkluderer MVA til kommunene, som speiler den MVA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andelen HDO ikke får fradrag for. </a:t>
          </a:r>
          <a:endParaRPr lang="nb-NO">
            <a:effectLst/>
          </a:endParaRPr>
        </a:p>
        <a:p>
          <a:pPr eaLnBrk="1" fontAlgn="auto" latinLnBrk="0" hangingPunct="1"/>
          <a:r>
            <a:rPr lang="nl-B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Det budsjetteres med et resultat i balanse.</a:t>
          </a:r>
        </a:p>
        <a:p>
          <a:pPr eaLnBrk="1" fontAlgn="auto" latinLnBrk="0" hangingPunct="1"/>
          <a:endParaRPr lang="nb-NO" sz="1100" b="1" u="sng"/>
        </a:p>
        <a:p>
          <a:endParaRPr lang="nb-NO" sz="1100"/>
        </a:p>
        <a:p>
          <a:r>
            <a:rPr lang="nb-NO" sz="1100" b="1" u="sng"/>
            <a:t>Kostnader: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HDO har i budsjettet lagt inn nødvendige midler for å kunne ivareta sitt ansvar for eierskap, forvaltning og drift av kommunikasjonsløsningen tilknyttet Nødnett i kommune- og spesialisthelsetjnesten.  Personalkostnader budsjetteres innenfor en øvre ramme på 109 ansatte i budsjett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perioden. </a:t>
          </a: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Personalkostnadene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inkluderer kostnader for lærlinger, trainee'er og engasjement. </a:t>
          </a:r>
          <a:endParaRPr lang="nb-NO">
            <a:effectLst/>
          </a:endParaRPr>
        </a:p>
        <a:p>
          <a:pPr eaLnBrk="1" fontAlgn="auto" latinLnBrk="0" hangingPunct="1"/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Pensjonskostander er beregnet med 16%. HDO sin andel er 14% og ansattes trekk i lønn er 2%.</a:t>
          </a:r>
          <a:endParaRPr lang="nb-NO">
            <a:effectLst/>
          </a:endParaRPr>
        </a:p>
        <a:p>
          <a:pPr eaLnBrk="1" fontAlgn="auto" latinLnBrk="0" hangingPunct="1"/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Nye stillinger i perioden er budsjettert med en gjennomsnittslønn på alle ansatte utenom ansatte i ledende stillinger.</a:t>
          </a:r>
        </a:p>
        <a:p>
          <a:pPr eaLnBrk="1" fontAlgn="auto" latinLnBrk="0" hangingPunct="1"/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MVA-kostnader tilhørende kommunene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blir bokført på egen konto i driftsregnskapet. Fordelingen for MVA-kostnad følger samme prinsipp som for inntektene, se over. HDO følger regelverket for </a:t>
          </a:r>
          <a:r>
            <a:rPr lang="nb-NO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nøytral merverdiavgift for helseforetak.</a:t>
          </a:r>
          <a:endParaRPr lang="nb-NO">
            <a:effectLst/>
          </a:endParaRPr>
        </a:p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Kostnader til administrasjon av selskapet og prosjektkostnader er nærmere beslyst i Word dokumentet.</a:t>
          </a:r>
        </a:p>
        <a:p>
          <a:endParaRPr lang="nb-NO">
            <a:effectLst/>
          </a:endParaRPr>
        </a:p>
        <a:p>
          <a:endParaRPr lang="nb-NO" sz="1100" b="1" u="sng"/>
        </a:p>
        <a:p>
          <a:r>
            <a:rPr lang="nb-NO" sz="1100" b="1" u="sng">
              <a:solidFill>
                <a:sysClr val="windowText" lastClr="000000"/>
              </a:solidFill>
            </a:rPr>
            <a:t>Kontantstrøm: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Kontantstrøm og likviditet er beregnet ut fra budsjettert drift og investeringer i planperioden. </a:t>
          </a:r>
          <a:r>
            <a:rPr lang="nb-N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Inntekter kommer fra fakturering av basistjenester og  tilleggstjenester. Kontantstrømmen fra en investering kommer som hovedregel i løpet av 3-7 år etter investeringen da avskrivningskostnaden er inkludert i grunnlaget for fakturering av basistjenester</a:t>
          </a:r>
          <a:r>
            <a:rPr lang="nb-NO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 For ny kommunikasjonsløsning (KAK) vil avskrivningene gå over 7 år. Avskrivnigskostnader knyttet til KAK forventes å starte i juni 2025 når anlegget settes i drift.</a:t>
          </a:r>
          <a:endParaRPr lang="nb-NO">
            <a:solidFill>
              <a:sysClr val="windowText" lastClr="000000"/>
            </a:solidFill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HDO har satt opp kontantstrøm ut fra budsjetterte driftskostnader og planlagte investeringer.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nb-NO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nb-NO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="1" u="sng"/>
            <a:t>Investeringer:</a:t>
          </a:r>
        </a:p>
        <a:p>
          <a:pPr eaLnBrk="1" fontAlgn="auto" latinLnBrk="0" hangingPunct="1"/>
          <a:r>
            <a:rPr lang="nb-N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Investeringer er budsjettert basert på tidligere</a:t>
          </a:r>
          <a:r>
            <a:rPr lang="nb-N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vedtatte ØLPer. Investeringene er beskrevet i word-leveransen for budsjettinnspillet.</a:t>
          </a:r>
          <a:endParaRPr lang="nb-NO">
            <a:effectLst/>
          </a:endParaRPr>
        </a:p>
        <a:p>
          <a:r>
            <a:rPr lang="nb-N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Investeringer avskrives i all hovedsak over 3, 5 eller 7 år. Avskrivnigskostnader knyttet til KAK starter i 2025 når anlegget er settes i drift.  </a:t>
          </a:r>
          <a:endParaRPr lang="nb-NO">
            <a:effectLst/>
          </a:endParaRPr>
        </a:p>
        <a:p>
          <a:endParaRPr lang="nb-NO" sz="1100" b="1"/>
        </a:p>
        <a:p>
          <a:r>
            <a:rPr lang="nb-NO" sz="1100" b="1" u="sng"/>
            <a:t>Lånefinansiering:</a:t>
          </a:r>
        </a:p>
        <a:p>
          <a:pPr eaLnBrk="1" fontAlgn="auto" latinLnBrk="0" hangingPunct="1"/>
          <a:r>
            <a:rPr lang="nb-N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Behov</a:t>
          </a:r>
          <a:r>
            <a:rPr lang="nb-N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for lån fra eierne i budsjettet er nødvendig for å sikre likviditen med utgangspunkt i daglig drift, samt vedtatte og planlagte investeringer. </a:t>
          </a:r>
          <a:endParaRPr lang="nb-NO">
            <a:effectLst/>
          </a:endParaRPr>
        </a:p>
        <a:p>
          <a:pPr eaLnBrk="1" fontAlgn="auto" latinLnBrk="0" hangingPunct="1"/>
          <a:r>
            <a:rPr lang="nl-B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Perioden forutsetter låneopptak for finansiering i</a:t>
          </a:r>
          <a:r>
            <a:rPr lang="nl-B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henhold til investeringsplanen samt større lisenskjøp for flere år.</a:t>
          </a:r>
          <a:endParaRPr lang="nb-NO">
            <a:effectLst/>
          </a:endParaRPr>
        </a:p>
        <a:p>
          <a:pPr eaLnBrk="1" fontAlgn="auto" latinLnBrk="0" hangingPunct="1"/>
          <a:r>
            <a:rPr lang="nb-N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Nye lån fra 2025 er lagt inn med første avdrag påfølgende år.</a:t>
          </a:r>
          <a:endParaRPr lang="nb-NO">
            <a:effectLst/>
          </a:endParaRPr>
        </a:p>
        <a:p>
          <a:pPr eaLnBrk="1" fontAlgn="auto" latinLnBrk="0" hangingPunct="1"/>
          <a:r>
            <a:rPr lang="nb-N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Renter på lån fra våre eiere er beregent etter renteforusetnigner som er mottatt fra Helse Sør-Øst RHF.</a:t>
          </a:r>
        </a:p>
        <a:p>
          <a:pPr eaLnBrk="1" fontAlgn="auto" latinLnBrk="0" hangingPunct="1"/>
          <a:endParaRPr lang="nb-NO">
            <a:effectLst/>
          </a:endParaRPr>
        </a:p>
        <a:p>
          <a:pPr eaLnBrk="1" fontAlgn="auto" latinLnBrk="0" hangingPunct="1"/>
          <a:endParaRPr lang="nb-NO" sz="11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nb-NO" sz="11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Valuta:</a:t>
          </a:r>
          <a:r>
            <a:rPr lang="nb-NO" sz="1100" b="1" u="sng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endParaRPr lang="nb-NO">
            <a:solidFill>
              <a:sysClr val="windowText" lastClr="000000"/>
            </a:solidFill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Forutsetter en eurokurs på kr 11,79 og dollarskurs på 10,9.</a:t>
          </a:r>
        </a:p>
        <a:p>
          <a:pPr eaLnBrk="1" fontAlgn="auto" latinLnBrk="0" hangingPunct="1"/>
          <a:endParaRPr lang="nb-NO" sz="11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indent="0" eaLnBrk="1" fontAlgn="auto" latinLnBrk="0" hangingPunct="1"/>
          <a:r>
            <a:rPr lang="nb-NO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Andre Forutsetninger vedr. regnskapsprinsipper:</a:t>
          </a:r>
        </a:p>
        <a:p>
          <a:r>
            <a:rPr lang="nl-B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Det er ikke tatt høyde for at satsen for ABE-reformen kan bli endret, avhengig av endelig sats i statsbudsjettet. </a:t>
          </a:r>
        </a:p>
        <a:p>
          <a:endParaRPr lang="nl-B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nb-NO">
            <a:effectLst/>
          </a:endParaRPr>
        </a:p>
        <a:p>
          <a:pPr eaLnBrk="1" fontAlgn="auto" latinLnBrk="0" hangingPunct="1"/>
          <a:endParaRPr lang="nb-NO">
            <a:effectLst/>
          </a:endParaRPr>
        </a:p>
      </xdr:txBody>
    </xdr:sp>
    <xdr:clientData/>
  </xdr:twoCellAnchor>
  <xdr:twoCellAnchor>
    <xdr:from>
      <xdr:col>1</xdr:col>
      <xdr:colOff>0</xdr:colOff>
      <xdr:row>5</xdr:row>
      <xdr:rowOff>123825</xdr:rowOff>
    </xdr:from>
    <xdr:to>
      <xdr:col>17</xdr:col>
      <xdr:colOff>666750</xdr:colOff>
      <xdr:row>15</xdr:row>
      <xdr:rowOff>19050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47650" y="1266825"/>
          <a:ext cx="13115925" cy="1800225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600" b="1"/>
            <a:t>Momenter</a:t>
          </a:r>
          <a:r>
            <a:rPr lang="nb-NO" sz="1600" b="1" baseline="0"/>
            <a:t> vedrørende malverk for budsjett 2025</a:t>
          </a:r>
          <a:endParaRPr lang="nb-NO" sz="1100" b="0"/>
        </a:p>
        <a:p>
          <a:r>
            <a:rPr lang="nb-NO" sz="1100" b="0"/>
            <a:t>- Modellen fylles ut i 2024 kroner</a:t>
          </a:r>
          <a:endParaRPr lang="nb-NO" sz="1100" b="0" baseline="0"/>
        </a:p>
        <a:p>
          <a:r>
            <a:rPr lang="nb-NO" sz="1100" b="0"/>
            <a:t>- Frist</a:t>
          </a:r>
          <a:r>
            <a:rPr lang="nb-NO" sz="1100" b="0" baseline="0"/>
            <a:t> for innleverin</a:t>
          </a:r>
          <a:r>
            <a:rPr lang="nb-NO" sz="1100" b="0">
              <a:solidFill>
                <a:schemeClr val="dk1"/>
              </a:solidFill>
              <a:latin typeface="+mn-lt"/>
              <a:ea typeface="+mn-ea"/>
              <a:cs typeface="+mn-cs"/>
            </a:rPr>
            <a:t>g:   13. september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704850</xdr:colOff>
      <xdr:row>9</xdr:row>
      <xdr:rowOff>57150</xdr:rowOff>
    </xdr:from>
    <xdr:to>
      <xdr:col>19</xdr:col>
      <xdr:colOff>123825</xdr:colOff>
      <xdr:row>14</xdr:row>
      <xdr:rowOff>133350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4754225" y="1781175"/>
          <a:ext cx="2466975" cy="94297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kt\data\1.6.2.%20Finans\2015\&#216;LP%202016-2019\Controlling\Leveranser%20fra%20HF\APO%20&#216;LP%202016-203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iledning i bruk"/>
      <sheetName val="Analyse Finans"/>
      <sheetName val="Resultat"/>
      <sheetName val="Kontantstrøm"/>
      <sheetName val="Investeringsrapport"/>
      <sheetName val="Balanserapport"/>
      <sheetName val="1.Input likv"/>
      <sheetName val="2.Input AM"/>
      <sheetName val="3.Input Avskr."/>
      <sheetName val="4.Input salg AM"/>
      <sheetName val="5.Input annet"/>
      <sheetName val="6.Finansposter"/>
      <sheetName val="7.Lange lån"/>
      <sheetName val="8.Utsatt inntekt"/>
      <sheetName val="9.Kapitalisere AUU"/>
      <sheetName val="10.MTU"/>
      <sheetName val="11.Eiendom"/>
      <sheetName val="12.Finansiell leasing"/>
      <sheetName val="Vedlikehold"/>
      <sheetName val="Styringsmå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3">
          <cell r="A3" t="str">
            <v>Immaterielle eiendeler</v>
          </cell>
        </row>
        <row r="4">
          <cell r="A4" t="str">
            <v>Tomter, bygninger og annen fast eiendom</v>
          </cell>
        </row>
        <row r="5">
          <cell r="A5" t="str">
            <v>Medisinskteknisk utstyr, Inventar, transportmidler og lignende</v>
          </cell>
        </row>
        <row r="6">
          <cell r="A6" t="str">
            <v>Anlegg under utførelse</v>
          </cell>
        </row>
      </sheetData>
      <sheetData sheetId="19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</sheetPr>
  <dimension ref="A1:R15"/>
  <sheetViews>
    <sheetView showGridLines="0" topLeftCell="A24" zoomScaleNormal="100" workbookViewId="0">
      <selection activeCell="A2" sqref="A2"/>
    </sheetView>
  </sheetViews>
  <sheetFormatPr baseColWidth="10" defaultColWidth="11.42578125" defaultRowHeight="15" x14ac:dyDescent="0.25"/>
  <cols>
    <col min="1" max="1" width="3.85546875" customWidth="1"/>
    <col min="2" max="2" width="15.140625" customWidth="1"/>
    <col min="8" max="8" width="115.140625" customWidth="1"/>
    <col min="9" max="9" width="1.85546875" hidden="1" customWidth="1"/>
    <col min="10" max="18" width="11.5703125" hidden="1" customWidth="1"/>
  </cols>
  <sheetData>
    <row r="1" spans="1:5" s="2" customFormat="1" ht="26.25" x14ac:dyDescent="0.4">
      <c r="A1" s="1" t="s">
        <v>0</v>
      </c>
    </row>
    <row r="2" spans="1:5" s="4" customFormat="1" ht="18.75" x14ac:dyDescent="0.3">
      <c r="A2" s="3" t="s">
        <v>1</v>
      </c>
    </row>
    <row r="4" spans="1:5" x14ac:dyDescent="0.25">
      <c r="B4" t="s">
        <v>2</v>
      </c>
      <c r="C4" s="5" t="s">
        <v>3</v>
      </c>
      <c r="D4" s="5"/>
      <c r="E4" s="5"/>
    </row>
    <row r="10" spans="1:5" ht="14.1" customHeight="1" x14ac:dyDescent="0.25"/>
    <row r="11" spans="1:5" hidden="1" x14ac:dyDescent="0.25"/>
    <row r="12" spans="1:5" hidden="1" x14ac:dyDescent="0.25"/>
    <row r="13" spans="1:5" hidden="1" x14ac:dyDescent="0.25"/>
    <row r="14" spans="1:5" hidden="1" x14ac:dyDescent="0.25"/>
    <row r="15" spans="1:5" hidden="1" x14ac:dyDescent="0.25"/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499984740745262"/>
  </sheetPr>
  <dimension ref="A1:P162"/>
  <sheetViews>
    <sheetView showGridLines="0" tabSelected="1" topLeftCell="A33" zoomScale="130" zoomScaleNormal="130" workbookViewId="0">
      <selection activeCell="D63" sqref="D63"/>
    </sheetView>
  </sheetViews>
  <sheetFormatPr baseColWidth="10" defaultColWidth="11.42578125" defaultRowHeight="15" x14ac:dyDescent="0.25"/>
  <cols>
    <col min="1" max="1" width="4.5703125" customWidth="1"/>
    <col min="2" max="2" width="36.140625" customWidth="1"/>
    <col min="3" max="3" width="31.5703125" customWidth="1"/>
    <col min="4" max="5" width="11.42578125" customWidth="1"/>
    <col min="7" max="7" width="12.140625" bestFit="1" customWidth="1"/>
    <col min="8" max="8" width="2.85546875" customWidth="1"/>
    <col min="9" max="9" width="11.42578125" style="35"/>
    <col min="10" max="10" width="11.42578125" customWidth="1"/>
    <col min="11" max="11" width="1.85546875" customWidth="1"/>
    <col min="12" max="12" width="11.42578125" style="35"/>
    <col min="13" max="13" width="13" customWidth="1"/>
    <col min="14" max="14" width="1.85546875" customWidth="1"/>
    <col min="15" max="15" width="60.85546875" style="61" customWidth="1"/>
  </cols>
  <sheetData>
    <row r="1" spans="1:15" s="2" customFormat="1" ht="26.25" x14ac:dyDescent="0.4">
      <c r="A1" s="1" t="str">
        <f>'Forutsetninger budsjett 2025'!$A$1</f>
        <v>Budsjett 2025</v>
      </c>
      <c r="I1" s="33"/>
      <c r="L1" s="33"/>
      <c r="O1" s="59"/>
    </row>
    <row r="2" spans="1:15" s="4" customFormat="1" ht="18.75" x14ac:dyDescent="0.3">
      <c r="A2" s="3" t="s">
        <v>4</v>
      </c>
      <c r="I2" s="34"/>
      <c r="L2" s="34"/>
      <c r="O2" s="60"/>
    </row>
    <row r="4" spans="1:15" x14ac:dyDescent="0.25">
      <c r="B4" t="s">
        <v>2</v>
      </c>
      <c r="C4" s="83" t="s">
        <v>5</v>
      </c>
      <c r="D4" s="83"/>
      <c r="E4" s="83"/>
      <c r="F4" s="83"/>
    </row>
    <row r="6" spans="1:15" x14ac:dyDescent="0.25">
      <c r="A6" s="6"/>
      <c r="B6" s="7" t="s">
        <v>6</v>
      </c>
      <c r="C6" s="7"/>
      <c r="D6" s="7"/>
      <c r="E6" s="6"/>
      <c r="F6" s="6"/>
      <c r="G6" s="6"/>
      <c r="H6" s="36"/>
      <c r="I6" s="36"/>
      <c r="J6" s="6"/>
      <c r="L6" s="36"/>
      <c r="M6" s="6"/>
      <c r="O6" s="62"/>
    </row>
    <row r="7" spans="1:15" ht="8.25" customHeight="1" x14ac:dyDescent="0.25">
      <c r="B7" s="8"/>
      <c r="C7" s="8"/>
      <c r="D7" s="8"/>
    </row>
    <row r="8" spans="1:15" ht="15.75" thickBot="1" x14ac:dyDescent="0.3">
      <c r="B8" s="9" t="s">
        <v>7</v>
      </c>
      <c r="C8" s="9"/>
      <c r="D8" s="10" t="s">
        <v>8</v>
      </c>
      <c r="E8" s="10" t="s">
        <v>9</v>
      </c>
      <c r="F8" s="10" t="s">
        <v>10</v>
      </c>
      <c r="G8" s="10" t="s">
        <v>11</v>
      </c>
      <c r="H8" s="10"/>
      <c r="I8" s="11" t="s">
        <v>12</v>
      </c>
      <c r="J8" s="32"/>
      <c r="K8" s="10"/>
      <c r="L8" s="11" t="s">
        <v>13</v>
      </c>
      <c r="M8" s="32"/>
      <c r="N8" s="10"/>
      <c r="O8" s="11" t="s">
        <v>14</v>
      </c>
    </row>
    <row r="9" spans="1:15" ht="6.75" customHeight="1" x14ac:dyDescent="0.25"/>
    <row r="10" spans="1:15" x14ac:dyDescent="0.25">
      <c r="B10" s="12" t="s">
        <v>15</v>
      </c>
      <c r="C10" s="12"/>
      <c r="D10" s="13">
        <v>124681.29299999999</v>
      </c>
      <c r="E10" s="13">
        <v>165029</v>
      </c>
      <c r="F10" s="13">
        <v>193391.67230939941</v>
      </c>
      <c r="G10" s="13">
        <f>G71+G72+G73+G74</f>
        <v>188914.62752880028</v>
      </c>
      <c r="H10" s="29"/>
      <c r="I10" s="40">
        <f>+G10-F10</f>
        <v>-4477.044780599128</v>
      </c>
      <c r="J10" s="41">
        <f>+IFERROR(I10/F10,0)</f>
        <v>-2.3150142543038189E-2</v>
      </c>
      <c r="K10" s="29"/>
      <c r="L10" s="40">
        <f>+G10-E10</f>
        <v>23885.62752880028</v>
      </c>
      <c r="M10" s="41">
        <f>+IFERROR(L10/E10,0)</f>
        <v>0.14473594052439437</v>
      </c>
      <c r="N10" s="31"/>
      <c r="O10" s="75"/>
    </row>
    <row r="11" spans="1:15" x14ac:dyDescent="0.25">
      <c r="B11" s="12" t="s">
        <v>16</v>
      </c>
      <c r="C11" s="12"/>
      <c r="D11" s="13">
        <v>135162.54299999998</v>
      </c>
      <c r="E11" s="13">
        <v>168688.02499999999</v>
      </c>
      <c r="F11" s="13">
        <v>201034.47933184897</v>
      </c>
      <c r="G11" s="13">
        <f>G75+G76</f>
        <v>203555.548920539</v>
      </c>
      <c r="H11" s="30"/>
      <c r="I11" s="40">
        <f t="shared" ref="I11:I13" si="0">+G11-F11</f>
        <v>2521.0695886900357</v>
      </c>
      <c r="J11" s="41">
        <f t="shared" ref="J11:J13" si="1">+IFERROR(I11/F11,0)</f>
        <v>1.2540483588034116E-2</v>
      </c>
      <c r="K11" s="30"/>
      <c r="L11" s="40">
        <f t="shared" ref="L11:L13" si="2">+G11-E11</f>
        <v>34867.52392053901</v>
      </c>
      <c r="M11" s="41">
        <f t="shared" ref="M11:M13" si="3">+IFERROR(L11/E11,0)</f>
        <v>0.20669827582923572</v>
      </c>
      <c r="N11" s="30"/>
      <c r="O11" s="12" t="s">
        <v>17</v>
      </c>
    </row>
    <row r="12" spans="1:15" x14ac:dyDescent="0.25">
      <c r="B12" s="15"/>
      <c r="C12" s="15"/>
      <c r="D12" s="14"/>
      <c r="E12" s="14"/>
      <c r="F12" s="14"/>
      <c r="G12" s="14"/>
      <c r="H12" s="30"/>
      <c r="I12" s="40">
        <f t="shared" si="0"/>
        <v>0</v>
      </c>
      <c r="J12" s="41">
        <f t="shared" si="1"/>
        <v>0</v>
      </c>
      <c r="K12" s="30"/>
      <c r="L12" s="40">
        <f t="shared" si="2"/>
        <v>0</v>
      </c>
      <c r="M12" s="41">
        <f t="shared" si="3"/>
        <v>0</v>
      </c>
      <c r="N12" s="30"/>
      <c r="O12" s="64"/>
    </row>
    <row r="13" spans="1:15" x14ac:dyDescent="0.25">
      <c r="B13" s="16" t="s">
        <v>18</v>
      </c>
      <c r="C13" s="16"/>
      <c r="D13" s="16">
        <f t="shared" ref="D13" si="4">SUM(D10:D12)</f>
        <v>259843.83599999995</v>
      </c>
      <c r="E13" s="16">
        <f>SUM(E10:E12)</f>
        <v>333717.02500000002</v>
      </c>
      <c r="F13" s="16">
        <f t="shared" ref="F13:G13" si="5">SUM(F10:F12)</f>
        <v>394426.15164124838</v>
      </c>
      <c r="G13" s="16">
        <f t="shared" si="5"/>
        <v>392470.17644933925</v>
      </c>
      <c r="H13" s="16"/>
      <c r="I13" s="43">
        <f t="shared" si="0"/>
        <v>-1955.9751919091213</v>
      </c>
      <c r="J13" s="44">
        <f t="shared" si="1"/>
        <v>-4.9590403267382359E-3</v>
      </c>
      <c r="K13" s="16"/>
      <c r="L13" s="43">
        <f t="shared" si="2"/>
        <v>58753.151449339231</v>
      </c>
      <c r="M13" s="44">
        <f t="shared" si="3"/>
        <v>0.17605679976722563</v>
      </c>
      <c r="N13" s="16"/>
      <c r="O13" s="75"/>
    </row>
    <row r="14" spans="1:15" ht="8.25" customHeight="1" x14ac:dyDescent="0.25">
      <c r="B14" s="12"/>
      <c r="C14" s="12"/>
      <c r="D14" s="12"/>
      <c r="E14" s="12"/>
      <c r="F14" s="12"/>
      <c r="G14" s="12"/>
      <c r="H14" s="12"/>
      <c r="I14" s="45"/>
      <c r="J14" s="46"/>
      <c r="K14" s="12"/>
      <c r="L14" s="45"/>
      <c r="M14" s="46"/>
      <c r="N14" s="12"/>
    </row>
    <row r="15" spans="1:15" x14ac:dyDescent="0.25">
      <c r="B15" s="12" t="s">
        <v>19</v>
      </c>
      <c r="C15" s="12"/>
      <c r="D15" s="13">
        <v>284.38099999999997</v>
      </c>
      <c r="E15" s="13"/>
      <c r="F15" s="13"/>
      <c r="G15" s="13">
        <v>0</v>
      </c>
      <c r="H15" s="29"/>
      <c r="I15" s="40">
        <f t="shared" ref="I15:I27" si="6">+G15-F15</f>
        <v>0</v>
      </c>
      <c r="J15" s="41">
        <f t="shared" ref="J15:J27" si="7">+IFERROR(I15/F15,0)</f>
        <v>0</v>
      </c>
      <c r="K15" s="29"/>
      <c r="L15" s="40">
        <f t="shared" ref="L15:L27" si="8">+G15-E15</f>
        <v>0</v>
      </c>
      <c r="M15" s="41">
        <f t="shared" ref="M15:M27" si="9">+IFERROR(L15/E15,0)</f>
        <v>0</v>
      </c>
      <c r="N15" s="29"/>
      <c r="O15" s="65"/>
    </row>
    <row r="16" spans="1:15" ht="17.25" customHeight="1" x14ac:dyDescent="0.25">
      <c r="B16" s="12" t="s">
        <v>20</v>
      </c>
      <c r="C16" s="12"/>
      <c r="D16" s="13">
        <v>81473.714000000007</v>
      </c>
      <c r="E16" s="13">
        <v>108684.75199999999</v>
      </c>
      <c r="F16" s="13">
        <v>123515.26828639599</v>
      </c>
      <c r="G16" s="13">
        <v>123815.474</v>
      </c>
      <c r="H16" s="29"/>
      <c r="I16" s="40">
        <f t="shared" si="6"/>
        <v>300.20571360400936</v>
      </c>
      <c r="J16" s="41">
        <f t="shared" si="7"/>
        <v>2.4305150105646827E-3</v>
      </c>
      <c r="K16" s="29"/>
      <c r="L16" s="40">
        <f t="shared" si="8"/>
        <v>15130.722000000009</v>
      </c>
      <c r="M16" s="41">
        <f t="shared" si="9"/>
        <v>0.13921660326372196</v>
      </c>
      <c r="O16" s="66"/>
    </row>
    <row r="17" spans="2:15" ht="18" customHeight="1" x14ac:dyDescent="0.25">
      <c r="B17" s="12" t="s">
        <v>21</v>
      </c>
      <c r="C17" s="12"/>
      <c r="D17" s="13">
        <v>33284.137000000002</v>
      </c>
      <c r="E17" s="13">
        <v>43430.83</v>
      </c>
      <c r="F17" s="13">
        <v>64366.019993223177</v>
      </c>
      <c r="G17" s="13">
        <v>62036.362999999998</v>
      </c>
      <c r="H17" s="29"/>
      <c r="I17" s="40">
        <f t="shared" si="6"/>
        <v>-2329.6569932231796</v>
      </c>
      <c r="J17" s="41">
        <f t="shared" si="7"/>
        <v>-3.6193895373186957E-2</v>
      </c>
      <c r="K17" s="29"/>
      <c r="L17" s="40">
        <f t="shared" si="8"/>
        <v>18605.532999999996</v>
      </c>
      <c r="M17" s="41">
        <f t="shared" si="9"/>
        <v>0.42839459895194254</v>
      </c>
      <c r="N17" s="29"/>
      <c r="O17" s="66"/>
    </row>
    <row r="18" spans="2:15" x14ac:dyDescent="0.25">
      <c r="B18" s="12" t="s">
        <v>22</v>
      </c>
      <c r="C18" s="12"/>
      <c r="D18" s="13">
        <v>0</v>
      </c>
      <c r="E18" s="13"/>
      <c r="F18" s="13"/>
      <c r="G18" s="13"/>
      <c r="H18" s="29"/>
      <c r="I18" s="40">
        <f t="shared" si="6"/>
        <v>0</v>
      </c>
      <c r="J18" s="41">
        <f t="shared" si="7"/>
        <v>0</v>
      </c>
      <c r="K18" s="29"/>
      <c r="L18" s="40">
        <f t="shared" si="8"/>
        <v>0</v>
      </c>
      <c r="M18" s="41">
        <f t="shared" si="9"/>
        <v>0</v>
      </c>
      <c r="N18" s="29"/>
      <c r="O18" s="67"/>
    </row>
    <row r="19" spans="2:15" ht="20.25" customHeight="1" x14ac:dyDescent="0.25">
      <c r="B19" s="12" t="s">
        <v>23</v>
      </c>
      <c r="C19" s="12"/>
      <c r="D19" s="13">
        <v>146942.32800000001</v>
      </c>
      <c r="E19" s="13">
        <v>175397.679</v>
      </c>
      <c r="F19" s="13">
        <v>195739.53382397158</v>
      </c>
      <c r="G19" s="13">
        <f>259160.592-G17</f>
        <v>197124.22899999999</v>
      </c>
      <c r="H19" s="29"/>
      <c r="I19" s="40">
        <f t="shared" ref="I19:I26" si="10">+G19-F19</f>
        <v>1384.6951760284137</v>
      </c>
      <c r="J19" s="41">
        <f t="shared" ref="J19:J26" si="11">+IFERROR(I19/F19,0)</f>
        <v>7.0741722378559919E-3</v>
      </c>
      <c r="K19" s="29"/>
      <c r="L19" s="40">
        <f t="shared" ref="L19:L26" si="12">+G19-E19</f>
        <v>21726.549999999988</v>
      </c>
      <c r="M19" s="41">
        <f t="shared" ref="M19:M26" si="13">+IFERROR(L19/E19,0)</f>
        <v>0.12387022521546587</v>
      </c>
      <c r="N19" s="29"/>
      <c r="O19" s="74"/>
    </row>
    <row r="20" spans="2:15" ht="20.25" customHeight="1" x14ac:dyDescent="0.25">
      <c r="B20" s="82" t="s">
        <v>24</v>
      </c>
      <c r="C20" s="12"/>
      <c r="D20" s="13">
        <v>17133.77</v>
      </c>
      <c r="E20" s="13">
        <v>18347.013000000003</v>
      </c>
      <c r="F20" s="13">
        <v>17502.046877140001</v>
      </c>
      <c r="G20" s="13">
        <f>17851.578-G21</f>
        <v>17404.708000000002</v>
      </c>
      <c r="H20" s="29"/>
      <c r="I20" s="40">
        <f t="shared" si="10"/>
        <v>-97.338877139998658</v>
      </c>
      <c r="J20" s="41">
        <f t="shared" si="11"/>
        <v>-5.5615710449922386E-3</v>
      </c>
      <c r="K20" s="29"/>
      <c r="L20" s="40">
        <f t="shared" si="12"/>
        <v>-942.30500000000029</v>
      </c>
      <c r="M20" s="41">
        <f t="shared" si="13"/>
        <v>-5.1360131482983094E-2</v>
      </c>
      <c r="N20" s="29"/>
      <c r="O20" s="74"/>
    </row>
    <row r="21" spans="2:15" ht="20.25" customHeight="1" x14ac:dyDescent="0.25">
      <c r="B21" s="82" t="s">
        <v>25</v>
      </c>
      <c r="C21" s="12"/>
      <c r="D21" s="13">
        <v>498.447</v>
      </c>
      <c r="E21" s="13">
        <v>750.96</v>
      </c>
      <c r="F21" s="13">
        <v>625.79999999999995</v>
      </c>
      <c r="G21" s="13">
        <v>446.87</v>
      </c>
      <c r="H21" s="29"/>
      <c r="I21" s="40">
        <f t="shared" si="10"/>
        <v>-178.92999999999995</v>
      </c>
      <c r="J21" s="41">
        <f t="shared" si="11"/>
        <v>-0.28592201981463722</v>
      </c>
      <c r="K21" s="29"/>
      <c r="L21" s="40">
        <f t="shared" si="12"/>
        <v>-304.09000000000003</v>
      </c>
      <c r="M21" s="41">
        <f t="shared" si="13"/>
        <v>-0.40493501651219777</v>
      </c>
      <c r="N21" s="29"/>
      <c r="O21" s="74"/>
    </row>
    <row r="22" spans="2:15" ht="20.25" customHeight="1" x14ac:dyDescent="0.25">
      <c r="B22" s="82" t="s">
        <v>26</v>
      </c>
      <c r="C22" s="12"/>
      <c r="D22" s="13">
        <v>40051.791000000005</v>
      </c>
      <c r="E22" s="13">
        <v>32250.426993749999</v>
      </c>
      <c r="F22" s="13">
        <v>40364.462381026206</v>
      </c>
      <c r="G22" s="13">
        <v>37825.805</v>
      </c>
      <c r="H22" s="29"/>
      <c r="I22" s="40">
        <f t="shared" ref="I22:I23" si="14">+G22-F22</f>
        <v>-2538.6573810262053</v>
      </c>
      <c r="J22" s="41">
        <f t="shared" ref="J22:J23" si="15">+IFERROR(I22/F22,0)</f>
        <v>-6.2893377770331244E-2</v>
      </c>
      <c r="K22" s="29"/>
      <c r="L22" s="40">
        <f t="shared" ref="L22:L23" si="16">+G22-E22</f>
        <v>5575.3780062500009</v>
      </c>
      <c r="M22" s="41">
        <f t="shared" ref="M22:M23" si="17">+IFERROR(L22/E22,0)</f>
        <v>0.17287764925811638</v>
      </c>
      <c r="N22" s="29"/>
      <c r="O22" s="74"/>
    </row>
    <row r="23" spans="2:15" ht="20.25" customHeight="1" x14ac:dyDescent="0.25">
      <c r="B23" s="82" t="s">
        <v>27</v>
      </c>
      <c r="C23" s="12"/>
      <c r="D23" s="13">
        <v>5877.2139999999999</v>
      </c>
      <c r="E23" s="13">
        <v>8631.67</v>
      </c>
      <c r="F23" s="13">
        <v>8631.6698300000025</v>
      </c>
      <c r="G23" s="13">
        <v>8631.67</v>
      </c>
      <c r="H23" s="29"/>
      <c r="I23" s="40">
        <f t="shared" si="14"/>
        <v>1.6999999752442818E-4</v>
      </c>
      <c r="J23" s="41">
        <f t="shared" si="15"/>
        <v>1.9694914294981571E-8</v>
      </c>
      <c r="K23" s="29"/>
      <c r="L23" s="40">
        <f t="shared" si="16"/>
        <v>0</v>
      </c>
      <c r="M23" s="41">
        <f t="shared" si="17"/>
        <v>0</v>
      </c>
      <c r="N23" s="29"/>
      <c r="O23" s="74"/>
    </row>
    <row r="24" spans="2:15" ht="20.25" customHeight="1" x14ac:dyDescent="0.25">
      <c r="B24" s="82" t="s">
        <v>28</v>
      </c>
      <c r="C24" s="12"/>
      <c r="D24" s="13">
        <v>67998.600000000006</v>
      </c>
      <c r="E24" s="13">
        <v>93960.2</v>
      </c>
      <c r="F24" s="13">
        <v>103249.33910914954</v>
      </c>
      <c r="G24" s="13">
        <v>103676.81</v>
      </c>
      <c r="H24" s="29"/>
      <c r="I24" s="40">
        <f t="shared" ref="I24:I25" si="18">+G24-F24</f>
        <v>427.47089085045445</v>
      </c>
      <c r="J24" s="41">
        <f t="shared" ref="J24:J25" si="19">+IFERROR(I24/F24,0)</f>
        <v>4.1401804073395148E-3</v>
      </c>
      <c r="K24" s="29"/>
      <c r="L24" s="40">
        <f t="shared" ref="L24:L25" si="20">+G24-E24</f>
        <v>9716.61</v>
      </c>
      <c r="M24" s="41">
        <f t="shared" ref="M24:M25" si="21">+IFERROR(L24/E24,0)</f>
        <v>0.1034119765602883</v>
      </c>
      <c r="N24" s="29"/>
      <c r="O24" s="74"/>
    </row>
    <row r="25" spans="2:15" ht="20.25" customHeight="1" x14ac:dyDescent="0.25">
      <c r="B25" s="82" t="s">
        <v>29</v>
      </c>
      <c r="C25" s="12"/>
      <c r="D25" s="13">
        <v>20959.900000000001</v>
      </c>
      <c r="E25" s="13">
        <v>19139.48</v>
      </c>
      <c r="F25" s="13">
        <v>21894.991000000002</v>
      </c>
      <c r="G25" s="13">
        <v>22713.428</v>
      </c>
      <c r="H25" s="29"/>
      <c r="I25" s="40">
        <f t="shared" si="18"/>
        <v>818.43699999999808</v>
      </c>
      <c r="J25" s="41">
        <f t="shared" si="19"/>
        <v>3.7380102142996911E-2</v>
      </c>
      <c r="K25" s="29"/>
      <c r="L25" s="40">
        <f t="shared" si="20"/>
        <v>3573.9480000000003</v>
      </c>
      <c r="M25" s="41">
        <f t="shared" si="21"/>
        <v>0.18673171893907256</v>
      </c>
      <c r="N25" s="29"/>
      <c r="O25" s="74"/>
    </row>
    <row r="26" spans="2:15" ht="20.25" customHeight="1" x14ac:dyDescent="0.25">
      <c r="B26" s="82" t="s">
        <v>30</v>
      </c>
      <c r="C26" s="12"/>
      <c r="D26" s="13">
        <v>-5577.3940000000075</v>
      </c>
      <c r="E26" s="13">
        <v>2317.929006250004</v>
      </c>
      <c r="F26" s="13">
        <v>3471.2246266558286</v>
      </c>
      <c r="G26" s="13">
        <f>29138.365-G25</f>
        <v>6424.9370000000017</v>
      </c>
      <c r="H26" s="29"/>
      <c r="I26" s="40">
        <f t="shared" si="10"/>
        <v>2953.7123733441731</v>
      </c>
      <c r="J26" s="41">
        <f t="shared" si="11"/>
        <v>0.85091363741267712</v>
      </c>
      <c r="K26" s="29"/>
      <c r="L26" s="40">
        <f t="shared" si="12"/>
        <v>4107.0079937499977</v>
      </c>
      <c r="M26" s="41">
        <f t="shared" si="13"/>
        <v>1.7718437375243017</v>
      </c>
      <c r="N26" s="29"/>
      <c r="O26" s="74"/>
    </row>
    <row r="27" spans="2:15" x14ac:dyDescent="0.25">
      <c r="B27" s="16" t="s">
        <v>31</v>
      </c>
      <c r="C27" s="16"/>
      <c r="D27" s="16">
        <f>SUM(D15:D19)</f>
        <v>261984.56</v>
      </c>
      <c r="E27" s="16">
        <f t="shared" ref="E27" si="22">SUM(E15:E19)</f>
        <v>327513.261</v>
      </c>
      <c r="F27" s="16">
        <f>SUM(F15:F19)</f>
        <v>383620.82210359076</v>
      </c>
      <c r="G27" s="16">
        <f>SUM(G15:G19)</f>
        <v>382976.06599999999</v>
      </c>
      <c r="H27" s="16"/>
      <c r="I27" s="43">
        <f t="shared" si="6"/>
        <v>-644.75610359077109</v>
      </c>
      <c r="J27" s="44">
        <f t="shared" si="7"/>
        <v>-1.6807119594166994E-3</v>
      </c>
      <c r="K27" s="16"/>
      <c r="L27" s="43">
        <f t="shared" si="8"/>
        <v>55462.804999999993</v>
      </c>
      <c r="M27" s="44">
        <f t="shared" si="9"/>
        <v>0.16934521927647991</v>
      </c>
      <c r="N27" s="16"/>
      <c r="O27" s="65"/>
    </row>
    <row r="28" spans="2:15" ht="8.25" customHeight="1" x14ac:dyDescent="0.25">
      <c r="B28" s="17"/>
      <c r="C28" s="17"/>
      <c r="D28" s="12"/>
      <c r="E28" s="12"/>
      <c r="F28" s="12"/>
      <c r="G28" s="12"/>
      <c r="H28" s="12"/>
      <c r="I28" s="45"/>
      <c r="J28" s="48"/>
      <c r="K28" s="12"/>
      <c r="L28" s="45"/>
      <c r="M28" s="48"/>
      <c r="N28" s="12"/>
      <c r="O28" s="65"/>
    </row>
    <row r="29" spans="2:15" s="8" customFormat="1" x14ac:dyDescent="0.25">
      <c r="B29" s="18" t="s">
        <v>32</v>
      </c>
      <c r="C29" s="18"/>
      <c r="D29" s="18">
        <f>D13-D27</f>
        <v>-2140.7240000000456</v>
      </c>
      <c r="E29" s="18">
        <f>E13-E27</f>
        <v>6203.7640000000247</v>
      </c>
      <c r="F29" s="18">
        <f>F13-F27</f>
        <v>10805.329537657613</v>
      </c>
      <c r="G29" s="18">
        <f>G13-G27</f>
        <v>9494.1104493392631</v>
      </c>
      <c r="H29" s="18"/>
      <c r="I29" s="53">
        <f t="shared" ref="I29" si="23">+G29-F29</f>
        <v>-1311.2190883183503</v>
      </c>
      <c r="J29" s="54">
        <f t="shared" ref="J29" si="24">+IFERROR(I29/F29,0)</f>
        <v>-0.12134929191642194</v>
      </c>
      <c r="K29" s="18"/>
      <c r="L29" s="53">
        <f t="shared" ref="L29" si="25">+J29-I29</f>
        <v>1311.0977390264338</v>
      </c>
      <c r="M29" s="54">
        <f t="shared" ref="M29" si="26">+IFERROR(L29/I29,0)</f>
        <v>-0.99990745307706586</v>
      </c>
      <c r="N29" s="18"/>
      <c r="O29" s="68"/>
    </row>
    <row r="30" spans="2:15" ht="8.25" customHeight="1" x14ac:dyDescent="0.25">
      <c r="B30" s="17"/>
      <c r="C30" s="17"/>
      <c r="D30" s="12"/>
      <c r="E30" s="12"/>
      <c r="F30" s="12"/>
      <c r="G30" s="12"/>
      <c r="H30" s="12"/>
      <c r="I30" s="45"/>
      <c r="J30" s="48"/>
      <c r="K30" s="12"/>
      <c r="L30" s="45"/>
      <c r="M30" s="48"/>
      <c r="N30" s="12"/>
      <c r="O30" s="69"/>
    </row>
    <row r="31" spans="2:15" x14ac:dyDescent="0.25">
      <c r="B31" s="12" t="s">
        <v>33</v>
      </c>
      <c r="C31" s="12"/>
      <c r="D31" s="13">
        <v>6878.3460000000005</v>
      </c>
      <c r="E31" s="13">
        <v>2555.35</v>
      </c>
      <c r="F31" s="13">
        <v>1440</v>
      </c>
      <c r="G31" s="13">
        <f>37000*4.7%</f>
        <v>1739</v>
      </c>
      <c r="H31" s="29"/>
      <c r="I31" s="40">
        <f t="shared" ref="I31:I33" si="27">+G31-F31</f>
        <v>299</v>
      </c>
      <c r="J31" s="41">
        <f t="shared" ref="J31:J33" si="28">+IFERROR(I31/F31,0)</f>
        <v>0.2076388888888889</v>
      </c>
      <c r="K31" s="29"/>
      <c r="L31" s="40">
        <f t="shared" ref="L31:L33" si="29">+G31-E31</f>
        <v>-816.34999999999991</v>
      </c>
      <c r="M31" s="41">
        <f t="shared" ref="M31:M33" si="30">+IFERROR(L31/E31,0)</f>
        <v>-0.31946700060657052</v>
      </c>
      <c r="N31" s="29"/>
      <c r="O31" s="70"/>
    </row>
    <row r="32" spans="2:15" x14ac:dyDescent="0.25">
      <c r="B32" s="12" t="s">
        <v>34</v>
      </c>
      <c r="C32" s="12"/>
      <c r="D32" s="14">
        <v>-4737.6210000000001</v>
      </c>
      <c r="E32" s="14">
        <v>-8759.1139999999996</v>
      </c>
      <c r="F32" s="14">
        <v>-12245.61</v>
      </c>
      <c r="G32" s="14">
        <f>G101+G115+G128+G142+G156</f>
        <v>-11233.11</v>
      </c>
      <c r="H32" s="30"/>
      <c r="I32" s="40">
        <f>+G32-F32</f>
        <v>1012.5</v>
      </c>
      <c r="J32" s="41">
        <f t="shared" si="28"/>
        <v>-8.2682692001460112E-2</v>
      </c>
      <c r="K32" s="29"/>
      <c r="L32" s="40">
        <f>+G32-E32</f>
        <v>-2473.996000000001</v>
      </c>
      <c r="M32" s="41">
        <f t="shared" si="30"/>
        <v>0.28244820195284603</v>
      </c>
      <c r="N32" s="30"/>
      <c r="O32" s="71"/>
    </row>
    <row r="33" spans="1:15" x14ac:dyDescent="0.25">
      <c r="B33" s="16" t="s">
        <v>35</v>
      </c>
      <c r="C33" s="16"/>
      <c r="D33" s="16">
        <f>SUM(D31:D32)</f>
        <v>2140.7250000000004</v>
      </c>
      <c r="E33" s="16">
        <f>SUM(E31:E32)</f>
        <v>-6203.7639999999992</v>
      </c>
      <c r="F33" s="16">
        <f>SUM(F31:F32)</f>
        <v>-10805.61</v>
      </c>
      <c r="G33" s="16">
        <f>SUM(G31:G32)</f>
        <v>-9494.11</v>
      </c>
      <c r="H33" s="16"/>
      <c r="I33" s="43">
        <f t="shared" si="27"/>
        <v>1311.5</v>
      </c>
      <c r="J33" s="44">
        <f t="shared" si="28"/>
        <v>-0.1213721391018184</v>
      </c>
      <c r="K33" s="16"/>
      <c r="L33" s="43">
        <f t="shared" si="29"/>
        <v>-3290.3460000000014</v>
      </c>
      <c r="M33" s="44">
        <f t="shared" si="30"/>
        <v>0.53037897637627762</v>
      </c>
      <c r="N33" s="16"/>
      <c r="O33" s="66"/>
    </row>
    <row r="34" spans="1:15" ht="8.25" customHeight="1" x14ac:dyDescent="0.25">
      <c r="B34" s="17"/>
      <c r="C34" s="17"/>
      <c r="D34" s="12"/>
      <c r="E34" s="12"/>
      <c r="F34" s="12"/>
      <c r="G34" s="12"/>
      <c r="H34" s="12"/>
      <c r="I34" s="45"/>
      <c r="J34" s="49"/>
      <c r="K34" s="12"/>
      <c r="L34" s="45"/>
      <c r="M34" s="49"/>
      <c r="N34" s="12"/>
      <c r="O34" s="66"/>
    </row>
    <row r="35" spans="1:15" ht="15.75" thickBot="1" x14ac:dyDescent="0.3">
      <c r="B35" s="19" t="s">
        <v>6</v>
      </c>
      <c r="C35" s="19"/>
      <c r="D35" s="19">
        <f>D29+D33</f>
        <v>9.9999995472899172E-4</v>
      </c>
      <c r="E35" s="19">
        <f>E29+E33</f>
        <v>2.5465851649641991E-11</v>
      </c>
      <c r="F35" s="19">
        <f>F29+F33</f>
        <v>-0.28046234238718171</v>
      </c>
      <c r="G35" s="19">
        <f>G29+G33</f>
        <v>4.4933926255907863E-4</v>
      </c>
      <c r="H35" s="19"/>
      <c r="I35" s="51">
        <f t="shared" ref="I35" si="31">+G35-F35</f>
        <v>0.28091168164974079</v>
      </c>
      <c r="J35" s="50">
        <v>0</v>
      </c>
      <c r="K35" s="52"/>
      <c r="L35" s="51">
        <f t="shared" ref="L35" si="32">+G35-E35</f>
        <v>4.4933923709322698E-4</v>
      </c>
      <c r="M35" s="50">
        <f t="shared" ref="M35" si="33">+IFERROR(L35/E35,0)</f>
        <v>17644775.571428571</v>
      </c>
      <c r="N35" s="52"/>
      <c r="O35" s="66"/>
    </row>
    <row r="36" spans="1:15" x14ac:dyDescent="0.25">
      <c r="O36" s="66"/>
    </row>
    <row r="37" spans="1:15" x14ac:dyDescent="0.25">
      <c r="A37" s="6"/>
      <c r="B37" s="7" t="s">
        <v>36</v>
      </c>
      <c r="C37" s="7"/>
      <c r="D37" s="6"/>
      <c r="E37" s="6"/>
      <c r="F37" s="6"/>
      <c r="G37" s="6"/>
      <c r="I37" s="36"/>
      <c r="J37" s="6"/>
      <c r="L37" s="36"/>
      <c r="M37" s="6"/>
      <c r="O37" s="62"/>
    </row>
    <row r="38" spans="1:15" ht="8.25" customHeight="1" x14ac:dyDescent="0.25">
      <c r="O38" s="69"/>
    </row>
    <row r="39" spans="1:15" ht="15.75" thickBot="1" x14ac:dyDescent="0.3">
      <c r="B39" s="9" t="s">
        <v>7</v>
      </c>
      <c r="C39" s="9"/>
      <c r="D39" s="10" t="str">
        <f>+D$8</f>
        <v>F 2023</v>
      </c>
      <c r="E39" s="10" t="str">
        <f>+E$8</f>
        <v>B 2024</v>
      </c>
      <c r="F39" s="10" t="str">
        <f>+F$8</f>
        <v>ØLP 2025</v>
      </c>
      <c r="G39" s="10" t="str">
        <f>+G$8</f>
        <v>B2025</v>
      </c>
      <c r="H39" s="10"/>
      <c r="I39" s="11" t="str">
        <f>+I$8</f>
        <v>∆ B2025 vs ØLP2025</v>
      </c>
      <c r="J39" s="10"/>
      <c r="K39" s="10"/>
      <c r="L39" s="11" t="str">
        <f>+L$8</f>
        <v>∆ B2025 vs B2024</v>
      </c>
      <c r="M39" s="10"/>
      <c r="N39" s="10"/>
      <c r="O39" s="63" t="s">
        <v>14</v>
      </c>
    </row>
    <row r="40" spans="1:15" ht="8.25" customHeight="1" x14ac:dyDescent="0.25">
      <c r="O40" s="69"/>
    </row>
    <row r="41" spans="1:15" x14ac:dyDescent="0.25">
      <c r="B41" t="s">
        <v>6</v>
      </c>
      <c r="D41" s="14">
        <f t="shared" ref="D41" si="34">D35</f>
        <v>9.9999995472899172E-4</v>
      </c>
      <c r="E41" s="14">
        <v>0.10199999999417741</v>
      </c>
      <c r="F41" s="14">
        <f t="shared" ref="F41" si="35">F35</f>
        <v>-0.28046234238718171</v>
      </c>
      <c r="G41" s="14">
        <f>G35</f>
        <v>4.4933926255907863E-4</v>
      </c>
      <c r="H41" s="12"/>
      <c r="I41" s="40">
        <f t="shared" ref="I41" si="36">+G41-F41</f>
        <v>0.28091168164974079</v>
      </c>
      <c r="J41" s="41">
        <f t="shared" ref="J41" si="37">+IFERROR(I41/F41,0)</f>
        <v>-1.0016021375944253</v>
      </c>
      <c r="K41" s="29"/>
      <c r="L41" s="40">
        <f t="shared" ref="L41" si="38">+G41-E41</f>
        <v>-0.10155066073161834</v>
      </c>
      <c r="M41" s="41">
        <f t="shared" ref="M41" si="39">+IFERROR(L41/E41,0)</f>
        <v>-0.99559471311191439</v>
      </c>
      <c r="N41" s="12"/>
      <c r="O41" s="76"/>
    </row>
    <row r="42" spans="1:15" x14ac:dyDescent="0.25">
      <c r="B42" t="s">
        <v>37</v>
      </c>
      <c r="D42" s="14">
        <f>D17+D18</f>
        <v>33284.137000000002</v>
      </c>
      <c r="E42" s="14">
        <f>E17+E18</f>
        <v>43430.83</v>
      </c>
      <c r="F42" s="14">
        <f>F17</f>
        <v>64366.019993223177</v>
      </c>
      <c r="G42" s="14">
        <f>G17</f>
        <v>62036.362999999998</v>
      </c>
      <c r="H42" s="12"/>
      <c r="I42" s="40">
        <f t="shared" ref="I42:I60" si="40">+G42-F42</f>
        <v>-2329.6569932231796</v>
      </c>
      <c r="J42" s="41">
        <f t="shared" ref="J42:J60" si="41">+IFERROR(I42/F42,0)</f>
        <v>-3.6193895373186957E-2</v>
      </c>
      <c r="K42" s="29"/>
      <c r="L42" s="40">
        <f t="shared" ref="L42:L60" si="42">+G42-E42</f>
        <v>18605.532999999996</v>
      </c>
      <c r="M42" s="41">
        <f t="shared" ref="M42:M60" si="43">+IFERROR(L42/E42,0)</f>
        <v>0.42839459895194254</v>
      </c>
      <c r="N42" s="12"/>
      <c r="O42" s="77"/>
    </row>
    <row r="43" spans="1:15" x14ac:dyDescent="0.25">
      <c r="B43" t="s">
        <v>38</v>
      </c>
      <c r="D43" s="14"/>
      <c r="E43" s="14"/>
      <c r="F43" s="14"/>
      <c r="G43" s="14"/>
      <c r="H43" s="30"/>
      <c r="I43" s="40">
        <f t="shared" si="40"/>
        <v>0</v>
      </c>
      <c r="J43" s="41">
        <f t="shared" si="41"/>
        <v>0</v>
      </c>
      <c r="K43" s="29"/>
      <c r="L43" s="40">
        <f t="shared" si="42"/>
        <v>0</v>
      </c>
      <c r="M43" s="41">
        <f t="shared" si="43"/>
        <v>0</v>
      </c>
      <c r="N43" s="30"/>
      <c r="O43" s="78"/>
    </row>
    <row r="44" spans="1:15" x14ac:dyDescent="0.25">
      <c r="B44" t="s">
        <v>39</v>
      </c>
      <c r="D44" s="14">
        <v>64914.54</v>
      </c>
      <c r="E44" s="14">
        <v>-48677</v>
      </c>
      <c r="F44" s="14">
        <v>-26000</v>
      </c>
      <c r="G44" s="14">
        <v>-65777</v>
      </c>
      <c r="H44" s="30"/>
      <c r="I44" s="40">
        <f t="shared" si="40"/>
        <v>-39777</v>
      </c>
      <c r="J44" s="41">
        <f t="shared" si="41"/>
        <v>1.5298846153846153</v>
      </c>
      <c r="K44" s="29"/>
      <c r="L44" s="40">
        <f t="shared" si="42"/>
        <v>-17100</v>
      </c>
      <c r="M44" s="41">
        <f t="shared" si="43"/>
        <v>0.35129527292150298</v>
      </c>
      <c r="N44" s="30"/>
      <c r="O44" s="78"/>
    </row>
    <row r="45" spans="1:15" x14ac:dyDescent="0.25">
      <c r="B45" t="s">
        <v>40</v>
      </c>
      <c r="D45" s="14">
        <v>3738.2739999999994</v>
      </c>
      <c r="E45" s="14">
        <v>1500</v>
      </c>
      <c r="F45" s="14">
        <v>2000</v>
      </c>
      <c r="G45" s="14">
        <v>2000</v>
      </c>
      <c r="H45" s="30"/>
      <c r="I45" s="40">
        <f t="shared" si="40"/>
        <v>0</v>
      </c>
      <c r="J45" s="41">
        <f t="shared" si="41"/>
        <v>0</v>
      </c>
      <c r="K45" s="29"/>
      <c r="L45" s="40">
        <f t="shared" si="42"/>
        <v>500</v>
      </c>
      <c r="M45" s="41">
        <f t="shared" si="43"/>
        <v>0.33333333333333331</v>
      </c>
      <c r="N45" s="30"/>
      <c r="O45" s="66"/>
    </row>
    <row r="46" spans="1:15" hidden="1" x14ac:dyDescent="0.25">
      <c r="B46" s="15" t="s">
        <v>41</v>
      </c>
      <c r="D46" s="13"/>
      <c r="E46" s="13"/>
      <c r="F46" s="13"/>
      <c r="G46" s="13"/>
      <c r="H46" s="29"/>
      <c r="I46" s="40">
        <f t="shared" si="40"/>
        <v>0</v>
      </c>
      <c r="J46" s="41">
        <f t="shared" si="41"/>
        <v>0</v>
      </c>
      <c r="K46" s="30"/>
      <c r="L46" s="40">
        <f t="shared" si="42"/>
        <v>0</v>
      </c>
      <c r="M46" s="41">
        <f t="shared" si="43"/>
        <v>0</v>
      </c>
      <c r="N46" s="29"/>
      <c r="O46" s="78"/>
    </row>
    <row r="47" spans="1:15" x14ac:dyDescent="0.25">
      <c r="B47" s="20" t="s">
        <v>42</v>
      </c>
      <c r="C47" s="21"/>
      <c r="D47" s="22">
        <f t="shared" ref="D47:E47" si="44">SUM(D41:D46)</f>
        <v>101936.95199999996</v>
      </c>
      <c r="E47" s="22">
        <f t="shared" si="44"/>
        <v>-3746.0680000000066</v>
      </c>
      <c r="F47" s="22">
        <f t="shared" ref="F47:G47" si="45">SUM(F41:F46)</f>
        <v>40365.73953088079</v>
      </c>
      <c r="G47" s="22">
        <f t="shared" si="45"/>
        <v>-1740.6365506607399</v>
      </c>
      <c r="H47" s="22"/>
      <c r="I47" s="43">
        <f t="shared" si="40"/>
        <v>-42106.37608154153</v>
      </c>
      <c r="J47" s="44">
        <f t="shared" si="41"/>
        <v>-1.043121631633408</v>
      </c>
      <c r="K47" s="16"/>
      <c r="L47" s="43">
        <f t="shared" si="42"/>
        <v>2005.4314493392667</v>
      </c>
      <c r="M47" s="44">
        <f t="shared" si="43"/>
        <v>-0.53534304485109807</v>
      </c>
      <c r="N47" s="22"/>
      <c r="O47" s="78"/>
    </row>
    <row r="48" spans="1:15" x14ac:dyDescent="0.25">
      <c r="O48" s="66"/>
    </row>
    <row r="49" spans="2:15" x14ac:dyDescent="0.25">
      <c r="B49" t="s">
        <v>43</v>
      </c>
      <c r="D49" s="14"/>
      <c r="E49" s="14">
        <v>-600</v>
      </c>
      <c r="F49" s="14">
        <v>-700</v>
      </c>
      <c r="G49" s="14">
        <f>-G84</f>
        <v>0</v>
      </c>
      <c r="H49" s="30"/>
      <c r="I49" s="42">
        <f t="shared" si="40"/>
        <v>700</v>
      </c>
      <c r="J49" s="47">
        <f t="shared" si="41"/>
        <v>-1</v>
      </c>
      <c r="K49" s="30"/>
      <c r="L49" s="42">
        <f t="shared" si="42"/>
        <v>600</v>
      </c>
      <c r="M49" s="47">
        <f t="shared" si="43"/>
        <v>-1</v>
      </c>
      <c r="N49" s="30"/>
      <c r="O49" s="66"/>
    </row>
    <row r="50" spans="2:15" x14ac:dyDescent="0.25">
      <c r="B50" t="s">
        <v>44</v>
      </c>
      <c r="D50" s="14">
        <v>-47907.118000000002</v>
      </c>
      <c r="E50" s="14">
        <v>-39650</v>
      </c>
      <c r="F50" s="14">
        <v>-45577.36</v>
      </c>
      <c r="G50" s="14">
        <f t="shared" ref="G50:G53" si="46">-G85</f>
        <v>-50744</v>
      </c>
      <c r="H50" s="30"/>
      <c r="I50" s="42">
        <f t="shared" si="40"/>
        <v>-5166.6399999999994</v>
      </c>
      <c r="J50" s="47">
        <f t="shared" si="41"/>
        <v>0.11335979091373435</v>
      </c>
      <c r="K50" s="30"/>
      <c r="L50" s="42">
        <f t="shared" si="42"/>
        <v>-11094</v>
      </c>
      <c r="M50" s="47">
        <f t="shared" si="43"/>
        <v>0.27979823455233294</v>
      </c>
      <c r="N50" s="30"/>
      <c r="O50" s="66"/>
    </row>
    <row r="51" spans="2:15" x14ac:dyDescent="0.25">
      <c r="B51" t="s">
        <v>45</v>
      </c>
      <c r="D51" s="14"/>
      <c r="E51" s="14">
        <v>0</v>
      </c>
      <c r="F51" s="14">
        <v>-10000</v>
      </c>
      <c r="G51" s="14">
        <f t="shared" si="46"/>
        <v>-5000</v>
      </c>
      <c r="H51" s="30"/>
      <c r="I51" s="42">
        <f t="shared" si="40"/>
        <v>5000</v>
      </c>
      <c r="J51" s="47">
        <f t="shared" si="41"/>
        <v>-0.5</v>
      </c>
      <c r="K51" s="30"/>
      <c r="L51" s="42">
        <f t="shared" si="42"/>
        <v>-5000</v>
      </c>
      <c r="M51" s="47">
        <f t="shared" si="43"/>
        <v>0</v>
      </c>
      <c r="N51" s="30"/>
      <c r="O51" s="66"/>
    </row>
    <row r="52" spans="2:15" x14ac:dyDescent="0.25">
      <c r="B52" t="s">
        <v>46</v>
      </c>
      <c r="D52" s="14">
        <v>-23338.879000000001</v>
      </c>
      <c r="E52" s="14">
        <v>-78121.596000000005</v>
      </c>
      <c r="F52" s="14">
        <v>-68606.178</v>
      </c>
      <c r="G52" s="14">
        <f t="shared" si="46"/>
        <v>-78365.899999999994</v>
      </c>
      <c r="H52" s="30"/>
      <c r="I52" s="42">
        <f t="shared" si="40"/>
        <v>-9759.7219999999943</v>
      </c>
      <c r="J52" s="47">
        <f t="shared" si="41"/>
        <v>0.14225718855814989</v>
      </c>
      <c r="K52" s="30"/>
      <c r="L52" s="42">
        <f t="shared" si="42"/>
        <v>-244.30399999998917</v>
      </c>
      <c r="M52" s="47">
        <f t="shared" si="43"/>
        <v>3.1272274570528381E-3</v>
      </c>
      <c r="N52" s="30"/>
      <c r="O52" s="66"/>
    </row>
    <row r="53" spans="2:15" x14ac:dyDescent="0.25">
      <c r="B53" t="s">
        <v>47</v>
      </c>
      <c r="D53" s="14"/>
      <c r="E53" s="14">
        <v>-4900</v>
      </c>
      <c r="F53" s="14">
        <v>-7500</v>
      </c>
      <c r="G53" s="14">
        <f t="shared" si="46"/>
        <v>-5000</v>
      </c>
      <c r="H53" s="30"/>
      <c r="I53" s="42">
        <f t="shared" si="40"/>
        <v>2500</v>
      </c>
      <c r="J53" s="47">
        <f t="shared" si="41"/>
        <v>-0.33333333333333331</v>
      </c>
      <c r="K53" s="30"/>
      <c r="L53" s="42">
        <f t="shared" si="42"/>
        <v>-100</v>
      </c>
      <c r="M53" s="47">
        <f t="shared" si="43"/>
        <v>2.0408163265306121E-2</v>
      </c>
      <c r="N53" s="30"/>
      <c r="O53" s="66"/>
    </row>
    <row r="54" spans="2:15" x14ac:dyDescent="0.25">
      <c r="B54" s="20" t="s">
        <v>48</v>
      </c>
      <c r="C54" s="21"/>
      <c r="D54" s="22">
        <f>SUM(D49:D53)</f>
        <v>-71245.997000000003</v>
      </c>
      <c r="E54" s="22">
        <f>SUM(E49:E53)</f>
        <v>-123271.59600000001</v>
      </c>
      <c r="F54" s="22">
        <f>SUM(F49:F53)</f>
        <v>-132383.538</v>
      </c>
      <c r="G54" s="22">
        <f>SUM(G49:G53)</f>
        <v>-139109.9</v>
      </c>
      <c r="H54" s="22"/>
      <c r="I54" s="43">
        <f t="shared" ref="I54" si="47">+G54-F54</f>
        <v>-6726.3619999999937</v>
      </c>
      <c r="J54" s="44">
        <f t="shared" ref="J54" si="48">+IFERROR(I54/F54,0)</f>
        <v>5.0809655804787406E-2</v>
      </c>
      <c r="K54" s="16"/>
      <c r="L54" s="43">
        <f t="shared" ref="L54" si="49">+G54-E54</f>
        <v>-15838.303999999989</v>
      </c>
      <c r="M54" s="44">
        <f t="shared" ref="M54" si="50">+IFERROR(L54/E54,0)</f>
        <v>0.12848299619646353</v>
      </c>
      <c r="N54" s="22"/>
      <c r="O54" s="66"/>
    </row>
    <row r="55" spans="2:15" x14ac:dyDescent="0.25">
      <c r="B55" s="8"/>
      <c r="D55" s="12"/>
      <c r="E55" s="12"/>
      <c r="F55" s="12"/>
      <c r="G55" s="12"/>
      <c r="H55" s="12"/>
      <c r="I55" s="37"/>
      <c r="J55" s="12"/>
      <c r="K55" s="12"/>
      <c r="L55" s="37"/>
      <c r="M55" s="12"/>
      <c r="N55" s="12"/>
      <c r="O55" s="66"/>
    </row>
    <row r="56" spans="2:15" ht="15.75" customHeight="1" x14ac:dyDescent="0.25">
      <c r="B56" t="s">
        <v>49</v>
      </c>
      <c r="D56" s="14">
        <v>0</v>
      </c>
      <c r="E56" s="14">
        <v>155000</v>
      </c>
      <c r="F56" s="14">
        <v>125000</v>
      </c>
      <c r="G56" s="14">
        <f>C153</f>
        <v>120000</v>
      </c>
      <c r="H56" s="30"/>
      <c r="I56" s="42">
        <f t="shared" si="40"/>
        <v>-5000</v>
      </c>
      <c r="J56" s="47">
        <f t="shared" si="41"/>
        <v>-0.04</v>
      </c>
      <c r="K56" s="30"/>
      <c r="L56" s="42">
        <f t="shared" si="42"/>
        <v>-35000</v>
      </c>
      <c r="M56" s="47">
        <f t="shared" si="43"/>
        <v>-0.22580645161290322</v>
      </c>
      <c r="N56" s="30"/>
      <c r="O56" s="66"/>
    </row>
    <row r="57" spans="2:15" x14ac:dyDescent="0.25">
      <c r="B57" t="s">
        <v>50</v>
      </c>
      <c r="D57" s="14">
        <v>-30000</v>
      </c>
      <c r="E57" s="14">
        <v>-30000</v>
      </c>
      <c r="F57" s="14">
        <v>-61000</v>
      </c>
      <c r="G57" s="14">
        <f>G100+G114+G127+G141+G155</f>
        <v>-61000</v>
      </c>
      <c r="H57" s="30"/>
      <c r="I57" s="42">
        <f t="shared" si="40"/>
        <v>0</v>
      </c>
      <c r="J57" s="47">
        <f t="shared" si="41"/>
        <v>0</v>
      </c>
      <c r="K57" s="30"/>
      <c r="L57" s="42">
        <f t="shared" si="42"/>
        <v>-31000</v>
      </c>
      <c r="M57" s="47">
        <f t="shared" si="43"/>
        <v>1.0333333333333334</v>
      </c>
      <c r="N57" s="30"/>
      <c r="O57" s="66"/>
    </row>
    <row r="58" spans="2:15" x14ac:dyDescent="0.25">
      <c r="B58" t="s">
        <v>51</v>
      </c>
      <c r="D58" s="14"/>
      <c r="E58" s="14"/>
      <c r="F58" s="14"/>
      <c r="G58" s="14"/>
      <c r="H58" s="30"/>
      <c r="I58" s="42">
        <f t="shared" si="40"/>
        <v>0</v>
      </c>
      <c r="J58" s="47">
        <f t="shared" si="41"/>
        <v>0</v>
      </c>
      <c r="K58" s="30"/>
      <c r="L58" s="42">
        <f t="shared" si="42"/>
        <v>0</v>
      </c>
      <c r="M58" s="47">
        <f t="shared" si="43"/>
        <v>0</v>
      </c>
      <c r="N58" s="30"/>
      <c r="O58" s="66"/>
    </row>
    <row r="59" spans="2:15" x14ac:dyDescent="0.25">
      <c r="B59" t="s">
        <v>52</v>
      </c>
      <c r="D59" s="14"/>
      <c r="E59" s="14"/>
      <c r="F59" s="14"/>
      <c r="G59" s="14"/>
      <c r="H59" s="30"/>
      <c r="I59" s="42">
        <f>+G59-F59</f>
        <v>0</v>
      </c>
      <c r="J59" s="47">
        <f t="shared" si="41"/>
        <v>0</v>
      </c>
      <c r="K59" s="30"/>
      <c r="L59" s="42">
        <f>+G59-E59</f>
        <v>0</v>
      </c>
      <c r="M59" s="47">
        <f t="shared" si="43"/>
        <v>0</v>
      </c>
      <c r="N59" s="30"/>
      <c r="O59" s="66"/>
    </row>
    <row r="60" spans="2:15" hidden="1" x14ac:dyDescent="0.25">
      <c r="B60" s="15" t="s">
        <v>53</v>
      </c>
      <c r="D60" s="14"/>
      <c r="E60" s="14"/>
      <c r="F60" s="14"/>
      <c r="G60" s="14"/>
      <c r="H60" s="30"/>
      <c r="I60" s="42">
        <f t="shared" si="40"/>
        <v>0</v>
      </c>
      <c r="J60" s="47">
        <f t="shared" si="41"/>
        <v>0</v>
      </c>
      <c r="K60" s="30"/>
      <c r="L60" s="42">
        <f t="shared" si="42"/>
        <v>0</v>
      </c>
      <c r="M60" s="47">
        <f t="shared" si="43"/>
        <v>0</v>
      </c>
      <c r="N60" s="30"/>
      <c r="O60" s="66"/>
    </row>
    <row r="61" spans="2:15" x14ac:dyDescent="0.25">
      <c r="B61" s="20" t="s">
        <v>54</v>
      </c>
      <c r="C61" s="21"/>
      <c r="D61" s="22">
        <f t="shared" ref="D61:E61" si="51">SUM(D56:D60)</f>
        <v>-30000</v>
      </c>
      <c r="E61" s="22">
        <f t="shared" si="51"/>
        <v>125000</v>
      </c>
      <c r="F61" s="22">
        <f t="shared" ref="F61" si="52">SUM(F56:F60)</f>
        <v>64000</v>
      </c>
      <c r="G61" s="22">
        <f>SUM(G56:G60)</f>
        <v>59000</v>
      </c>
      <c r="H61" s="22"/>
      <c r="I61" s="43">
        <f t="shared" ref="I61" si="53">+G61-F61</f>
        <v>-5000</v>
      </c>
      <c r="J61" s="44">
        <f t="shared" ref="J61" si="54">+IFERROR(I61/F61,0)</f>
        <v>-7.8125E-2</v>
      </c>
      <c r="K61" s="16"/>
      <c r="L61" s="43">
        <f t="shared" ref="L61" si="55">+G61-E61</f>
        <v>-66000</v>
      </c>
      <c r="M61" s="44">
        <f t="shared" ref="M61" si="56">+IFERROR(L61/E61,0)</f>
        <v>-0.52800000000000002</v>
      </c>
      <c r="N61" s="22"/>
      <c r="O61" s="66"/>
    </row>
    <row r="62" spans="2:15" x14ac:dyDescent="0.25">
      <c r="B62" s="8"/>
      <c r="D62" s="12"/>
      <c r="E62" s="12"/>
      <c r="F62" s="12"/>
      <c r="G62" s="12"/>
      <c r="H62" s="12"/>
      <c r="I62" s="37"/>
      <c r="J62" s="12"/>
      <c r="K62" s="12"/>
      <c r="L62" s="37"/>
      <c r="M62" s="12"/>
      <c r="N62" s="12"/>
      <c r="O62" s="69"/>
    </row>
    <row r="63" spans="2:15" x14ac:dyDescent="0.25">
      <c r="B63" s="8" t="s">
        <v>55</v>
      </c>
      <c r="D63" s="12">
        <f>D47+D54+D61</f>
        <v>690.95499999995809</v>
      </c>
      <c r="E63" s="12">
        <f>E47+E54+E61</f>
        <v>-2017.6640000000189</v>
      </c>
      <c r="F63" s="12">
        <f>F47+F54+F61</f>
        <v>-28017.79846911921</v>
      </c>
      <c r="G63" s="12">
        <f>G47+G54+G61</f>
        <v>-81850.536550660734</v>
      </c>
      <c r="H63" s="12"/>
      <c r="I63" s="37"/>
      <c r="J63" s="12"/>
      <c r="K63" s="12"/>
      <c r="L63" s="37"/>
      <c r="M63" s="12"/>
      <c r="N63" s="12"/>
    </row>
    <row r="64" spans="2:15" x14ac:dyDescent="0.25">
      <c r="B64" s="8" t="s">
        <v>56</v>
      </c>
      <c r="D64" s="14">
        <v>62676</v>
      </c>
      <c r="E64" s="14">
        <f>D65</f>
        <v>63366.954999999958</v>
      </c>
      <c r="F64" s="14">
        <f t="shared" ref="F64" si="57">E65</f>
        <v>61349.290999999939</v>
      </c>
      <c r="G64" s="14">
        <v>115415.63044925399</v>
      </c>
      <c r="H64" s="12"/>
      <c r="I64" s="37"/>
      <c r="J64" s="12"/>
      <c r="K64" s="12"/>
      <c r="L64" s="37"/>
      <c r="M64" s="12"/>
      <c r="N64" s="12"/>
      <c r="O64" t="s">
        <v>57</v>
      </c>
    </row>
    <row r="65" spans="1:16" x14ac:dyDescent="0.25">
      <c r="B65" s="8" t="s">
        <v>58</v>
      </c>
      <c r="D65" s="14">
        <f>D63+D64</f>
        <v>63366.954999999958</v>
      </c>
      <c r="E65" s="14">
        <f t="shared" ref="E65:F65" si="58">E63+E64</f>
        <v>61349.290999999939</v>
      </c>
      <c r="F65" s="14">
        <f t="shared" si="58"/>
        <v>33331.492530880729</v>
      </c>
      <c r="G65" s="14">
        <f>G63+G64</f>
        <v>33565.093898593259</v>
      </c>
      <c r="H65" s="12"/>
      <c r="I65" s="37"/>
      <c r="J65" s="12"/>
      <c r="K65" s="12"/>
      <c r="L65" s="37"/>
      <c r="M65" s="12"/>
      <c r="N65" s="12"/>
      <c r="O65" s="79"/>
    </row>
    <row r="66" spans="1:16" x14ac:dyDescent="0.25">
      <c r="E66" s="12"/>
      <c r="G66" s="12"/>
      <c r="O66" s="72"/>
    </row>
    <row r="67" spans="1:16" x14ac:dyDescent="0.25">
      <c r="A67" s="6"/>
      <c r="B67" s="7" t="s">
        <v>59</v>
      </c>
      <c r="C67" s="7"/>
      <c r="D67" s="6"/>
      <c r="E67" s="80"/>
      <c r="F67" s="6"/>
      <c r="G67" s="6"/>
      <c r="I67" s="36"/>
      <c r="J67" s="6"/>
      <c r="L67" s="36"/>
      <c r="M67" s="6"/>
      <c r="O67" s="62"/>
    </row>
    <row r="68" spans="1:16" ht="8.25" customHeight="1" x14ac:dyDescent="0.25">
      <c r="O68" s="70"/>
    </row>
    <row r="69" spans="1:16" ht="15.75" thickBot="1" x14ac:dyDescent="0.3">
      <c r="B69" s="9" t="s">
        <v>7</v>
      </c>
      <c r="C69" s="9"/>
      <c r="D69" s="10" t="str">
        <f>+D$8</f>
        <v>F 2023</v>
      </c>
      <c r="E69" s="10" t="str">
        <f>+E$8</f>
        <v>B 2024</v>
      </c>
      <c r="F69" s="10" t="str">
        <f t="shared" ref="F69:I69" si="59">+F$8</f>
        <v>ØLP 2025</v>
      </c>
      <c r="G69" s="10" t="str">
        <f t="shared" si="59"/>
        <v>B2025</v>
      </c>
      <c r="H69" s="10"/>
      <c r="I69" s="11" t="str">
        <f t="shared" si="59"/>
        <v>∆ B2025 vs ØLP2025</v>
      </c>
      <c r="J69" s="10"/>
      <c r="K69" s="10"/>
      <c r="L69" s="11" t="str">
        <f t="shared" ref="L69" si="60">+L$8</f>
        <v>∆ B2025 vs B2024</v>
      </c>
      <c r="M69" s="10"/>
      <c r="N69" s="10"/>
      <c r="O69" s="63" t="s">
        <v>14</v>
      </c>
    </row>
    <row r="71" spans="1:16" x14ac:dyDescent="0.25">
      <c r="B71" t="s">
        <v>60</v>
      </c>
      <c r="D71" s="13">
        <v>60447.436999999998</v>
      </c>
      <c r="E71" s="13">
        <v>76048</v>
      </c>
      <c r="F71" s="13">
        <v>89282.872061360365</v>
      </c>
      <c r="G71" s="13">
        <v>87596.451329398362</v>
      </c>
      <c r="H71" s="29"/>
      <c r="I71" s="42">
        <f t="shared" ref="I71:I76" si="61">+G71-F71</f>
        <v>-1686.4207319620036</v>
      </c>
      <c r="J71" s="47">
        <f t="shared" ref="J71:J76" si="62">+IFERROR(I71/F71,0)</f>
        <v>-1.888851347437611E-2</v>
      </c>
      <c r="K71" s="29"/>
      <c r="L71" s="42">
        <f t="shared" ref="L71" si="63">+G71-E71</f>
        <v>11548.451329398362</v>
      </c>
      <c r="M71" s="47">
        <f t="shared" ref="M71" si="64">+IFERROR(L71/E71,0)</f>
        <v>0.15185739703080109</v>
      </c>
      <c r="N71" s="29"/>
      <c r="O71" t="s">
        <v>61</v>
      </c>
      <c r="P71" s="12"/>
    </row>
    <row r="72" spans="1:16" x14ac:dyDescent="0.25">
      <c r="B72" t="s">
        <v>62</v>
      </c>
      <c r="D72" s="13">
        <v>26607.179</v>
      </c>
      <c r="E72" s="13">
        <v>31765</v>
      </c>
      <c r="F72" s="13">
        <v>37253.409564223053</v>
      </c>
      <c r="G72" s="13">
        <v>36628.497908580743</v>
      </c>
      <c r="H72" s="29"/>
      <c r="I72" s="42">
        <f t="shared" si="61"/>
        <v>-624.91165564231051</v>
      </c>
      <c r="J72" s="47">
        <f t="shared" si="62"/>
        <v>-1.6774616416384478E-2</v>
      </c>
      <c r="K72" s="29"/>
      <c r="L72" s="42">
        <f t="shared" ref="L72:L76" si="65">+G72-E72</f>
        <v>4863.4979085807427</v>
      </c>
      <c r="M72" s="47">
        <f t="shared" ref="M72:M76" si="66">+IFERROR(L72/E72,0)</f>
        <v>0.15310870167104496</v>
      </c>
      <c r="N72" s="29"/>
    </row>
    <row r="73" spans="1:16" x14ac:dyDescent="0.25">
      <c r="B73" t="s">
        <v>63</v>
      </c>
      <c r="D73" s="13">
        <v>17705.288</v>
      </c>
      <c r="E73" s="13">
        <v>29518</v>
      </c>
      <c r="F73" s="13">
        <v>34329.695745024721</v>
      </c>
      <c r="G73" s="13">
        <v>33195.442724960827</v>
      </c>
      <c r="H73" s="29"/>
      <c r="I73" s="42">
        <f t="shared" si="61"/>
        <v>-1134.2530200638939</v>
      </c>
      <c r="J73" s="47">
        <f t="shared" si="62"/>
        <v>-3.3039996290333482E-2</v>
      </c>
      <c r="K73" s="29"/>
      <c r="L73" s="42">
        <f t="shared" si="65"/>
        <v>3677.442724960827</v>
      </c>
      <c r="M73" s="47">
        <f t="shared" si="66"/>
        <v>0.12458305864085734</v>
      </c>
      <c r="N73" s="29"/>
      <c r="P73" s="12"/>
    </row>
    <row r="74" spans="1:16" x14ac:dyDescent="0.25">
      <c r="B74" t="s">
        <v>64</v>
      </c>
      <c r="D74" s="14">
        <v>19921.388999999999</v>
      </c>
      <c r="E74" s="14">
        <v>27698</v>
      </c>
      <c r="F74" s="13">
        <v>32525.694938791268</v>
      </c>
      <c r="G74" s="13">
        <v>31494.235565860352</v>
      </c>
      <c r="H74" s="30"/>
      <c r="I74" s="42">
        <f t="shared" si="61"/>
        <v>-1031.4593729309163</v>
      </c>
      <c r="J74" s="47">
        <f t="shared" si="62"/>
        <v>-3.1712139429210542E-2</v>
      </c>
      <c r="K74" s="30"/>
      <c r="L74" s="42">
        <f t="shared" si="65"/>
        <v>3796.2355658603519</v>
      </c>
      <c r="M74" s="47">
        <f t="shared" si="66"/>
        <v>0.13705811126653014</v>
      </c>
      <c r="N74" s="30"/>
    </row>
    <row r="75" spans="1:16" x14ac:dyDescent="0.25">
      <c r="B75" t="s">
        <v>65</v>
      </c>
      <c r="D75" s="14">
        <v>132158.81899999999</v>
      </c>
      <c r="E75" s="14">
        <v>163882.818</v>
      </c>
      <c r="F75" s="13">
        <v>193698.57460231707</v>
      </c>
      <c r="G75" s="13">
        <v>197212.50561230752</v>
      </c>
      <c r="H75" s="12"/>
      <c r="I75" s="45">
        <f t="shared" si="61"/>
        <v>3513.9310099904542</v>
      </c>
      <c r="J75" s="48">
        <f t="shared" si="62"/>
        <v>1.8141233187724346E-2</v>
      </c>
      <c r="K75" s="12"/>
      <c r="L75" s="45">
        <f t="shared" si="65"/>
        <v>33329.68761230752</v>
      </c>
      <c r="M75" s="48">
        <f t="shared" si="66"/>
        <v>0.20337511899696234</v>
      </c>
      <c r="N75" s="12"/>
    </row>
    <row r="76" spans="1:16" x14ac:dyDescent="0.25">
      <c r="B76" t="s">
        <v>66</v>
      </c>
      <c r="D76" s="14">
        <v>3003.7240000000002</v>
      </c>
      <c r="E76" s="14">
        <v>4805.2070000000003</v>
      </c>
      <c r="F76" s="13">
        <v>7335.904729531896</v>
      </c>
      <c r="G76" s="13">
        <v>6343.0433082314839</v>
      </c>
      <c r="H76" s="12"/>
      <c r="I76" s="45">
        <f t="shared" si="61"/>
        <v>-992.86142130041208</v>
      </c>
      <c r="J76" s="48">
        <f t="shared" si="62"/>
        <v>-0.13534273656846776</v>
      </c>
      <c r="K76" s="12"/>
      <c r="L76" s="45">
        <f t="shared" si="65"/>
        <v>1537.8363082314836</v>
      </c>
      <c r="M76" s="48">
        <f t="shared" si="66"/>
        <v>0.32003539248808294</v>
      </c>
      <c r="N76" s="12"/>
    </row>
    <row r="77" spans="1:16" x14ac:dyDescent="0.25">
      <c r="B77" s="20" t="s">
        <v>67</v>
      </c>
      <c r="C77" s="20"/>
      <c r="D77" s="16">
        <f>SUM(D71:D76)</f>
        <v>259843.83599999995</v>
      </c>
      <c r="E77" s="16">
        <f t="shared" ref="E77:G77" si="67">SUM(E71:E76)</f>
        <v>333717.02499999997</v>
      </c>
      <c r="F77" s="16">
        <f t="shared" si="67"/>
        <v>394426.15164124838</v>
      </c>
      <c r="G77" s="16">
        <f t="shared" si="67"/>
        <v>392470.17644933925</v>
      </c>
      <c r="H77" s="16"/>
      <c r="I77" s="38"/>
      <c r="J77" s="16"/>
      <c r="K77" s="16"/>
      <c r="L77" s="38"/>
      <c r="M77" s="16"/>
      <c r="N77" s="16"/>
      <c r="O77" s="75"/>
    </row>
    <row r="79" spans="1:16" x14ac:dyDescent="0.25">
      <c r="A79" s="6"/>
      <c r="B79" s="7" t="s">
        <v>68</v>
      </c>
      <c r="C79" s="7"/>
      <c r="D79" s="6"/>
      <c r="E79" s="6"/>
      <c r="F79" s="6"/>
      <c r="G79" s="6"/>
      <c r="I79" s="36"/>
      <c r="J79" s="6"/>
      <c r="L79" s="36"/>
      <c r="M79" s="6"/>
      <c r="O79" s="62"/>
    </row>
    <row r="80" spans="1:16" ht="8.25" customHeight="1" x14ac:dyDescent="0.25"/>
    <row r="81" spans="1:15" ht="15.75" thickBot="1" x14ac:dyDescent="0.3">
      <c r="B81" s="9" t="s">
        <v>7</v>
      </c>
      <c r="C81" s="9"/>
      <c r="D81" s="10" t="str">
        <f>+D$8</f>
        <v>F 2023</v>
      </c>
      <c r="E81" s="10" t="str">
        <f>+E$8</f>
        <v>B 2024</v>
      </c>
      <c r="F81" s="10" t="str">
        <f t="shared" ref="F81:I81" si="68">+F$8</f>
        <v>ØLP 2025</v>
      </c>
      <c r="G81" s="10" t="str">
        <f t="shared" si="68"/>
        <v>B2025</v>
      </c>
      <c r="H81" s="10"/>
      <c r="I81" s="11" t="str">
        <f t="shared" si="68"/>
        <v>∆ B2025 vs ØLP2025</v>
      </c>
      <c r="J81" s="10"/>
      <c r="K81" s="10"/>
      <c r="L81" s="11" t="str">
        <f t="shared" ref="L81" si="69">+L$8</f>
        <v>∆ B2025 vs B2024</v>
      </c>
      <c r="M81" s="10"/>
      <c r="N81" s="10"/>
      <c r="O81" s="63" t="s">
        <v>14</v>
      </c>
    </row>
    <row r="82" spans="1:15" ht="8.25" customHeight="1" x14ac:dyDescent="0.25"/>
    <row r="83" spans="1:15" x14ac:dyDescent="0.25">
      <c r="B83" s="23" t="s">
        <v>68</v>
      </c>
      <c r="C83" s="23"/>
    </row>
    <row r="84" spans="1:15" x14ac:dyDescent="0.25">
      <c r="B84" s="58" t="s">
        <v>43</v>
      </c>
      <c r="D84" s="13">
        <v>0</v>
      </c>
      <c r="E84" s="13">
        <v>600</v>
      </c>
      <c r="F84" s="13">
        <v>700</v>
      </c>
      <c r="G84" s="13">
        <v>0</v>
      </c>
      <c r="H84" s="29"/>
      <c r="I84" s="42">
        <f t="shared" ref="I84:I85" si="70">+G84-F84</f>
        <v>-700</v>
      </c>
      <c r="J84" s="47">
        <f t="shared" ref="J84:J86" si="71">+IFERROR(I84/F84,0)</f>
        <v>-1</v>
      </c>
      <c r="K84" s="29"/>
      <c r="L84" s="42">
        <f t="shared" ref="L84:L85" si="72">+G84-E84</f>
        <v>-600</v>
      </c>
      <c r="M84" s="47">
        <f t="shared" ref="M84:M86" si="73">+IFERROR(L84/E84,0)</f>
        <v>-1</v>
      </c>
      <c r="N84" s="29"/>
    </row>
    <row r="85" spans="1:15" x14ac:dyDescent="0.25">
      <c r="B85" s="58" t="s">
        <v>44</v>
      </c>
      <c r="D85" s="13">
        <v>47907.118000000002</v>
      </c>
      <c r="E85" s="13">
        <v>39650</v>
      </c>
      <c r="F85" s="13">
        <v>45577.36</v>
      </c>
      <c r="G85" s="13">
        <v>50744</v>
      </c>
      <c r="H85" s="29"/>
      <c r="I85" s="42">
        <f t="shared" si="70"/>
        <v>5166.6399999999994</v>
      </c>
      <c r="J85" s="47">
        <f t="shared" si="71"/>
        <v>0.11335979091373435</v>
      </c>
      <c r="K85" s="29"/>
      <c r="L85" s="42">
        <f t="shared" si="72"/>
        <v>11094</v>
      </c>
      <c r="M85" s="47">
        <f t="shared" si="73"/>
        <v>0.27979823455233294</v>
      </c>
      <c r="N85" s="29"/>
      <c r="O85" s="73"/>
    </row>
    <row r="86" spans="1:15" x14ac:dyDescent="0.25">
      <c r="B86" s="58" t="s">
        <v>45</v>
      </c>
      <c r="C86" s="15"/>
      <c r="D86" s="13">
        <v>0</v>
      </c>
      <c r="E86" s="13">
        <v>0</v>
      </c>
      <c r="F86" s="13">
        <v>10000</v>
      </c>
      <c r="G86" s="13">
        <v>5000</v>
      </c>
      <c r="H86" s="29"/>
      <c r="I86" s="42">
        <f>+G86-F86</f>
        <v>-5000</v>
      </c>
      <c r="J86" s="47">
        <f t="shared" si="71"/>
        <v>-0.5</v>
      </c>
      <c r="K86" s="29"/>
      <c r="L86" s="42">
        <f>+G86-E86</f>
        <v>5000</v>
      </c>
      <c r="M86" s="47">
        <f t="shared" si="73"/>
        <v>0</v>
      </c>
      <c r="N86" s="29"/>
      <c r="O86" s="64"/>
    </row>
    <row r="87" spans="1:15" x14ac:dyDescent="0.25">
      <c r="B87" s="58" t="s">
        <v>46</v>
      </c>
      <c r="C87" s="15"/>
      <c r="D87" s="14">
        <v>23338.879000000001</v>
      </c>
      <c r="E87" s="14">
        <v>78121.596000000005</v>
      </c>
      <c r="F87" s="14">
        <v>68606.178</v>
      </c>
      <c r="G87" s="14">
        <v>78365.899999999994</v>
      </c>
      <c r="H87" s="30"/>
      <c r="I87" s="42"/>
      <c r="J87" s="47"/>
      <c r="K87" s="30"/>
      <c r="L87" s="42"/>
      <c r="M87" s="47"/>
      <c r="N87" s="30"/>
      <c r="O87" s="64"/>
    </row>
    <row r="88" spans="1:15" x14ac:dyDescent="0.25">
      <c r="B88" s="58" t="s">
        <v>47</v>
      </c>
      <c r="C88" s="15"/>
      <c r="D88" s="14">
        <v>0</v>
      </c>
      <c r="E88" s="14">
        <v>4900</v>
      </c>
      <c r="F88" s="14">
        <v>7500</v>
      </c>
      <c r="G88" s="14">
        <v>5000</v>
      </c>
      <c r="H88" s="30"/>
      <c r="I88" s="42"/>
      <c r="J88" s="47"/>
      <c r="K88" s="30"/>
      <c r="L88" s="42"/>
      <c r="M88" s="47"/>
      <c r="N88" s="30"/>
      <c r="O88" s="64"/>
    </row>
    <row r="89" spans="1:15" x14ac:dyDescent="0.25">
      <c r="B89" s="20" t="s">
        <v>69</v>
      </c>
      <c r="C89" s="20"/>
      <c r="D89" s="16">
        <f>SUM(D84:D88)</f>
        <v>71245.997000000003</v>
      </c>
      <c r="E89" s="16">
        <f>SUM(E84:E88)</f>
        <v>123271.59600000001</v>
      </c>
      <c r="F89" s="16">
        <f>SUM(F84:F88)</f>
        <v>132383.538</v>
      </c>
      <c r="G89" s="16">
        <f>SUM(G84:G88)</f>
        <v>139109.9</v>
      </c>
      <c r="H89" s="16"/>
      <c r="I89" s="55">
        <f t="shared" ref="I89" si="74">+G89-F89</f>
        <v>6726.3619999999937</v>
      </c>
      <c r="J89" s="56">
        <f t="shared" ref="J89" si="75">+IFERROR(I89/F89,0)</f>
        <v>5.0809655804787406E-2</v>
      </c>
      <c r="K89" s="57"/>
      <c r="L89" s="55">
        <f t="shared" ref="L89" si="76">+G89-E89</f>
        <v>15838.303999999989</v>
      </c>
      <c r="M89" s="56">
        <f t="shared" ref="M89" si="77">+IFERROR(L89/E89,0)</f>
        <v>0.12848299619646353</v>
      </c>
      <c r="N89" s="16"/>
    </row>
    <row r="90" spans="1:15" x14ac:dyDescent="0.25">
      <c r="B90" s="24" t="s">
        <v>70</v>
      </c>
      <c r="C90" s="24"/>
    </row>
    <row r="91" spans="1:15" x14ac:dyDescent="0.25">
      <c r="A91" s="6"/>
      <c r="B91" s="7" t="s">
        <v>71</v>
      </c>
      <c r="C91" s="7"/>
      <c r="D91" s="6"/>
      <c r="E91" s="6"/>
      <c r="F91" s="6"/>
      <c r="G91" s="6"/>
      <c r="I91" s="36"/>
      <c r="J91" s="6"/>
      <c r="L91" s="36"/>
      <c r="M91" s="6"/>
      <c r="O91" s="62"/>
    </row>
    <row r="93" spans="1:15" ht="15.75" thickBot="1" x14ac:dyDescent="0.3">
      <c r="B93" s="9" t="s">
        <v>7</v>
      </c>
      <c r="C93" s="9"/>
      <c r="D93" s="10" t="str">
        <f>+D$8</f>
        <v>F 2023</v>
      </c>
      <c r="E93" s="10" t="str">
        <f>+E$8</f>
        <v>B 2024</v>
      </c>
      <c r="F93" s="10" t="str">
        <f t="shared" ref="F93:I93" si="78">+F$8</f>
        <v>ØLP 2025</v>
      </c>
      <c r="G93" s="10" t="str">
        <f t="shared" si="78"/>
        <v>B2025</v>
      </c>
      <c r="H93" s="10"/>
      <c r="I93" s="11" t="str">
        <f t="shared" si="78"/>
        <v>∆ B2025 vs ØLP2025</v>
      </c>
      <c r="J93" s="10"/>
      <c r="K93" s="10"/>
      <c r="L93" s="11" t="str">
        <f t="shared" ref="L93" si="79">+L$8</f>
        <v>∆ B2025 vs B2024</v>
      </c>
      <c r="M93" s="10"/>
      <c r="N93" s="10"/>
      <c r="O93" s="63" t="s">
        <v>14</v>
      </c>
    </row>
    <row r="94" spans="1:15" ht="8.25" customHeight="1" x14ac:dyDescent="0.25"/>
    <row r="96" spans="1:15" hidden="1" x14ac:dyDescent="0.25">
      <c r="B96" s="25" t="s">
        <v>72</v>
      </c>
      <c r="C96" s="25"/>
      <c r="D96" s="26"/>
      <c r="E96" s="26"/>
      <c r="F96" s="26"/>
      <c r="G96" s="26"/>
      <c r="H96" s="26"/>
      <c r="I96" s="39"/>
      <c r="J96" s="26"/>
      <c r="K96" s="26"/>
      <c r="L96" s="39"/>
      <c r="M96" s="26"/>
      <c r="N96" s="26"/>
    </row>
    <row r="97" spans="2:14" hidden="1" x14ac:dyDescent="0.25">
      <c r="B97" s="23"/>
      <c r="C97" s="23"/>
    </row>
    <row r="98" spans="2:14" hidden="1" x14ac:dyDescent="0.25">
      <c r="B98" t="s">
        <v>73</v>
      </c>
      <c r="C98" s="27">
        <v>103000</v>
      </c>
    </row>
    <row r="99" spans="2:14" hidden="1" x14ac:dyDescent="0.25">
      <c r="B99" t="s">
        <v>74</v>
      </c>
      <c r="D99" s="13">
        <v>41200</v>
      </c>
      <c r="E99" s="13">
        <v>0</v>
      </c>
      <c r="F99" s="13"/>
      <c r="G99" s="13"/>
      <c r="H99" s="29"/>
      <c r="I99" s="42">
        <f t="shared" ref="I99:I101" si="80">+G99-F99</f>
        <v>0</v>
      </c>
      <c r="J99" s="47">
        <f t="shared" ref="J99:J101" si="81">+IFERROR(I99/F99,0)</f>
        <v>0</v>
      </c>
      <c r="K99" s="29"/>
      <c r="L99" s="42">
        <f t="shared" ref="L99:L101" si="82">+G99-E99</f>
        <v>0</v>
      </c>
      <c r="M99" s="47">
        <f t="shared" ref="M99:M101" si="83">+IFERROR(L99/E99,0)</f>
        <v>0</v>
      </c>
      <c r="N99" s="29"/>
    </row>
    <row r="100" spans="2:14" hidden="1" x14ac:dyDescent="0.25">
      <c r="B100" t="s">
        <v>75</v>
      </c>
      <c r="D100" s="13">
        <v>-51500</v>
      </c>
      <c r="E100" s="13">
        <v>-41200</v>
      </c>
      <c r="F100" s="13"/>
      <c r="G100" s="13"/>
      <c r="H100" s="29"/>
      <c r="I100" s="42">
        <f t="shared" si="80"/>
        <v>0</v>
      </c>
      <c r="J100" s="47">
        <f t="shared" si="81"/>
        <v>0</v>
      </c>
      <c r="K100" s="29"/>
      <c r="L100" s="42">
        <f t="shared" si="82"/>
        <v>41200</v>
      </c>
      <c r="M100" s="47">
        <f t="shared" si="83"/>
        <v>-1</v>
      </c>
      <c r="N100" s="29"/>
    </row>
    <row r="101" spans="2:14" hidden="1" x14ac:dyDescent="0.25">
      <c r="B101" t="s">
        <v>76</v>
      </c>
      <c r="D101" s="13">
        <v>-386</v>
      </c>
      <c r="E101" s="13">
        <v>-135</v>
      </c>
      <c r="F101" s="13"/>
      <c r="G101" s="13"/>
      <c r="H101" s="29"/>
      <c r="I101" s="42">
        <f t="shared" si="80"/>
        <v>0</v>
      </c>
      <c r="J101" s="47">
        <f t="shared" si="81"/>
        <v>0</v>
      </c>
      <c r="K101" s="29"/>
      <c r="L101" s="42">
        <f t="shared" si="82"/>
        <v>135</v>
      </c>
      <c r="M101" s="47">
        <f t="shared" si="83"/>
        <v>-1</v>
      </c>
      <c r="N101" s="29"/>
    </row>
    <row r="102" spans="2:14" hidden="1" x14ac:dyDescent="0.25"/>
    <row r="103" spans="2:14" hidden="1" x14ac:dyDescent="0.25">
      <c r="B103" s="28" t="s">
        <v>77</v>
      </c>
    </row>
    <row r="104" spans="2:14" hidden="1" x14ac:dyDescent="0.25">
      <c r="B104" t="s">
        <v>60</v>
      </c>
      <c r="C104" s="27">
        <v>41200</v>
      </c>
    </row>
    <row r="105" spans="2:14" hidden="1" x14ac:dyDescent="0.25">
      <c r="B105" t="s">
        <v>62</v>
      </c>
      <c r="C105" s="27">
        <v>20600</v>
      </c>
    </row>
    <row r="106" spans="2:14" hidden="1" x14ac:dyDescent="0.25">
      <c r="B106" t="s">
        <v>63</v>
      </c>
      <c r="C106" s="27">
        <v>20600</v>
      </c>
    </row>
    <row r="107" spans="2:14" hidden="1" x14ac:dyDescent="0.25">
      <c r="B107" t="s">
        <v>64</v>
      </c>
      <c r="C107" s="27">
        <v>20600</v>
      </c>
    </row>
    <row r="108" spans="2:14" hidden="1" x14ac:dyDescent="0.25"/>
    <row r="110" spans="2:14" x14ac:dyDescent="0.25">
      <c r="B110" s="25" t="s">
        <v>78</v>
      </c>
      <c r="C110" s="25"/>
      <c r="D110" s="26"/>
      <c r="E110" s="26"/>
      <c r="F110" s="26"/>
      <c r="G110" s="26"/>
      <c r="H110" s="26"/>
      <c r="I110" s="39"/>
      <c r="J110" s="26"/>
      <c r="K110" s="26"/>
      <c r="L110" s="39"/>
      <c r="M110" s="26"/>
      <c r="N110" s="26"/>
    </row>
    <row r="111" spans="2:14" x14ac:dyDescent="0.25">
      <c r="B111" s="23"/>
      <c r="C111" s="23"/>
    </row>
    <row r="112" spans="2:14" x14ac:dyDescent="0.25">
      <c r="B112" t="s">
        <v>73</v>
      </c>
      <c r="C112" s="27">
        <v>100000</v>
      </c>
    </row>
    <row r="113" spans="2:14" x14ac:dyDescent="0.25">
      <c r="B113" t="s">
        <v>74</v>
      </c>
      <c r="D113" s="13"/>
      <c r="E113" s="13">
        <v>40000</v>
      </c>
      <c r="F113" s="13">
        <v>20000</v>
      </c>
      <c r="G113" s="13">
        <v>20000</v>
      </c>
      <c r="H113" s="29"/>
      <c r="I113" s="42">
        <f t="shared" ref="I113:I115" si="84">+G113-F113</f>
        <v>0</v>
      </c>
      <c r="J113" s="47">
        <f t="shared" ref="J113:J115" si="85">+IFERROR(I113/F113,0)</f>
        <v>0</v>
      </c>
      <c r="K113" s="29"/>
      <c r="L113" s="42">
        <f t="shared" ref="L113:L115" si="86">+G113-E113</f>
        <v>-20000</v>
      </c>
      <c r="M113" s="47">
        <f t="shared" ref="M113:M115" si="87">+IFERROR(L113/E113,0)</f>
        <v>-0.5</v>
      </c>
      <c r="N113" s="29"/>
    </row>
    <row r="114" spans="2:14" x14ac:dyDescent="0.25">
      <c r="B114" t="s">
        <v>75</v>
      </c>
      <c r="D114" s="13">
        <v>-20000</v>
      </c>
      <c r="E114" s="13">
        <v>-20000</v>
      </c>
      <c r="F114" s="13">
        <v>-20000</v>
      </c>
      <c r="G114" s="13">
        <v>-20000</v>
      </c>
      <c r="H114" s="29"/>
      <c r="I114" s="42">
        <f t="shared" si="84"/>
        <v>0</v>
      </c>
      <c r="J114" s="47">
        <f t="shared" si="85"/>
        <v>0</v>
      </c>
      <c r="K114" s="29"/>
      <c r="L114" s="42">
        <f t="shared" si="86"/>
        <v>0</v>
      </c>
      <c r="M114" s="47">
        <f t="shared" si="87"/>
        <v>0</v>
      </c>
      <c r="N114" s="29"/>
    </row>
    <row r="115" spans="2:14" x14ac:dyDescent="0.25">
      <c r="B115" t="s">
        <v>76</v>
      </c>
      <c r="C115" s="81">
        <v>4.4999999999999998E-2</v>
      </c>
      <c r="D115" s="13">
        <v>-2817.6439999999998</v>
      </c>
      <c r="E115" s="13"/>
      <c r="F115" s="13">
        <v>-1573.1510000000001</v>
      </c>
      <c r="G115" s="13">
        <v>-1573.1510000000001</v>
      </c>
      <c r="H115" s="29"/>
      <c r="I115" s="42">
        <f t="shared" si="84"/>
        <v>0</v>
      </c>
      <c r="J115" s="47">
        <f t="shared" si="85"/>
        <v>0</v>
      </c>
      <c r="K115" s="29"/>
      <c r="L115" s="42">
        <f t="shared" si="86"/>
        <v>-1573.1510000000001</v>
      </c>
      <c r="M115" s="47">
        <f t="shared" si="87"/>
        <v>0</v>
      </c>
      <c r="N115" s="29"/>
    </row>
    <row r="117" spans="2:14" x14ac:dyDescent="0.25">
      <c r="B117" s="28" t="s">
        <v>77</v>
      </c>
    </row>
    <row r="118" spans="2:14" x14ac:dyDescent="0.25">
      <c r="B118" t="s">
        <v>60</v>
      </c>
      <c r="C118" s="27">
        <f>C112*40%</f>
        <v>40000</v>
      </c>
    </row>
    <row r="119" spans="2:14" x14ac:dyDescent="0.25">
      <c r="B119" t="s">
        <v>62</v>
      </c>
      <c r="C119" s="27">
        <f>$C$112*20%</f>
        <v>20000</v>
      </c>
    </row>
    <row r="120" spans="2:14" x14ac:dyDescent="0.25">
      <c r="B120" t="s">
        <v>63</v>
      </c>
      <c r="C120" s="27">
        <f t="shared" ref="C120:C121" si="88">$C$112*20%</f>
        <v>20000</v>
      </c>
    </row>
    <row r="121" spans="2:14" x14ac:dyDescent="0.25">
      <c r="B121" t="s">
        <v>64</v>
      </c>
      <c r="C121" s="27">
        <f t="shared" si="88"/>
        <v>20000</v>
      </c>
    </row>
    <row r="123" spans="2:14" x14ac:dyDescent="0.25">
      <c r="B123" s="25" t="s">
        <v>79</v>
      </c>
      <c r="C123" s="25"/>
      <c r="D123" s="26"/>
      <c r="E123" s="26"/>
      <c r="F123" s="26"/>
      <c r="G123" s="26"/>
      <c r="H123" s="26"/>
      <c r="I123" s="39"/>
      <c r="J123" s="26"/>
      <c r="K123" s="26"/>
      <c r="L123" s="39"/>
      <c r="M123" s="26"/>
      <c r="N123" s="26"/>
    </row>
    <row r="124" spans="2:14" x14ac:dyDescent="0.25">
      <c r="B124" s="23"/>
      <c r="C124" s="23"/>
    </row>
    <row r="125" spans="2:14" x14ac:dyDescent="0.25">
      <c r="B125" t="s">
        <v>73</v>
      </c>
      <c r="C125" s="27">
        <v>50000</v>
      </c>
    </row>
    <row r="126" spans="2:14" x14ac:dyDescent="0.25">
      <c r="B126" t="s">
        <v>74</v>
      </c>
      <c r="D126" s="13">
        <v>40000</v>
      </c>
      <c r="E126" s="13">
        <v>30000</v>
      </c>
      <c r="F126" s="13">
        <v>20000</v>
      </c>
      <c r="G126" s="13">
        <v>20000</v>
      </c>
      <c r="H126" s="29"/>
      <c r="I126" s="42">
        <f t="shared" ref="I126:I128" si="89">+G126-F126</f>
        <v>0</v>
      </c>
      <c r="J126" s="47">
        <f t="shared" ref="J126:J128" si="90">+IFERROR(I126/F126,0)</f>
        <v>0</v>
      </c>
      <c r="K126" s="29"/>
      <c r="L126" s="42">
        <f t="shared" ref="L126:L128" si="91">+G126-E126</f>
        <v>-10000</v>
      </c>
      <c r="M126" s="47">
        <f t="shared" ref="M126:M128" si="92">+IFERROR(L126/E126,0)</f>
        <v>-0.33333333333333331</v>
      </c>
      <c r="N126" s="29"/>
    </row>
    <row r="127" spans="2:14" x14ac:dyDescent="0.25">
      <c r="B127" t="s">
        <v>75</v>
      </c>
      <c r="D127" s="13">
        <v>-10000</v>
      </c>
      <c r="E127" s="13">
        <v>-10000</v>
      </c>
      <c r="F127" s="13">
        <v>-10000</v>
      </c>
      <c r="G127" s="13">
        <v>-10000</v>
      </c>
      <c r="H127" s="29"/>
      <c r="I127" s="42">
        <f t="shared" si="89"/>
        <v>0</v>
      </c>
      <c r="J127" s="47">
        <f t="shared" si="90"/>
        <v>0</v>
      </c>
      <c r="K127" s="29"/>
      <c r="L127" s="42">
        <f t="shared" si="91"/>
        <v>0</v>
      </c>
      <c r="M127" s="47">
        <f t="shared" si="92"/>
        <v>0</v>
      </c>
      <c r="N127" s="29"/>
    </row>
    <row r="128" spans="2:14" x14ac:dyDescent="0.25">
      <c r="B128" t="s">
        <v>76</v>
      </c>
      <c r="C128" s="81">
        <v>4.4999999999999998E-2</v>
      </c>
      <c r="D128" s="13"/>
      <c r="E128" s="13"/>
      <c r="F128" s="13">
        <v>-1236.575</v>
      </c>
      <c r="G128" s="13">
        <v>-1236.575</v>
      </c>
      <c r="H128" s="29"/>
      <c r="I128" s="42">
        <f t="shared" si="89"/>
        <v>0</v>
      </c>
      <c r="J128" s="47">
        <f t="shared" si="90"/>
        <v>0</v>
      </c>
      <c r="K128" s="29"/>
      <c r="L128" s="42">
        <f t="shared" si="91"/>
        <v>-1236.575</v>
      </c>
      <c r="M128" s="47">
        <f t="shared" si="92"/>
        <v>0</v>
      </c>
      <c r="N128" s="29"/>
    </row>
    <row r="130" spans="2:15" x14ac:dyDescent="0.25">
      <c r="B130" s="28" t="s">
        <v>77</v>
      </c>
    </row>
    <row r="131" spans="2:15" x14ac:dyDescent="0.25">
      <c r="B131" t="s">
        <v>60</v>
      </c>
      <c r="C131" s="27">
        <f>C125*40%</f>
        <v>20000</v>
      </c>
    </row>
    <row r="132" spans="2:15" x14ac:dyDescent="0.25">
      <c r="B132" t="s">
        <v>62</v>
      </c>
      <c r="C132" s="27">
        <f>$C$125*20%</f>
        <v>10000</v>
      </c>
    </row>
    <row r="133" spans="2:15" x14ac:dyDescent="0.25">
      <c r="B133" t="s">
        <v>63</v>
      </c>
      <c r="C133" s="27">
        <f>$C$125*20%</f>
        <v>10000</v>
      </c>
    </row>
    <row r="134" spans="2:15" x14ac:dyDescent="0.25">
      <c r="B134" t="s">
        <v>64</v>
      </c>
      <c r="C134" s="27">
        <f>$C$125*20%</f>
        <v>10000</v>
      </c>
    </row>
    <row r="137" spans="2:15" x14ac:dyDescent="0.25">
      <c r="B137" s="25" t="s">
        <v>80</v>
      </c>
      <c r="C137" s="25"/>
      <c r="D137" s="26"/>
      <c r="E137" s="26"/>
      <c r="F137" s="26"/>
      <c r="G137" s="26"/>
      <c r="H137" s="26"/>
      <c r="I137" s="39"/>
      <c r="J137" s="26"/>
      <c r="K137" s="26"/>
      <c r="L137" s="39"/>
      <c r="M137" s="26"/>
    </row>
    <row r="138" spans="2:15" x14ac:dyDescent="0.25">
      <c r="B138" s="23"/>
      <c r="C138" s="23"/>
    </row>
    <row r="139" spans="2:15" x14ac:dyDescent="0.25">
      <c r="B139" t="s">
        <v>73</v>
      </c>
      <c r="C139" s="27">
        <v>155000</v>
      </c>
      <c r="O139" s="61" t="s">
        <v>81</v>
      </c>
    </row>
    <row r="140" spans="2:15" x14ac:dyDescent="0.25">
      <c r="B140" t="s">
        <v>74</v>
      </c>
      <c r="D140" s="13"/>
      <c r="E140" s="13"/>
      <c r="F140" s="13">
        <v>124000</v>
      </c>
      <c r="G140" s="13">
        <v>124000</v>
      </c>
      <c r="H140" s="29"/>
      <c r="I140" s="42">
        <f t="shared" ref="I140:I142" si="93">+G140-F140</f>
        <v>0</v>
      </c>
      <c r="J140" s="47">
        <f t="shared" ref="J140:J142" si="94">+IFERROR(I140/F140,0)</f>
        <v>0</v>
      </c>
      <c r="K140" s="29"/>
      <c r="L140" s="42">
        <f t="shared" ref="L140:L142" si="95">+G140-E140</f>
        <v>124000</v>
      </c>
      <c r="M140" s="47">
        <f t="shared" ref="M140:M142" si="96">+IFERROR(L140/E140,0)</f>
        <v>0</v>
      </c>
    </row>
    <row r="141" spans="2:15" x14ac:dyDescent="0.25">
      <c r="B141" t="s">
        <v>75</v>
      </c>
      <c r="D141" s="13"/>
      <c r="E141" s="13"/>
      <c r="F141" s="13">
        <v>-31000</v>
      </c>
      <c r="G141" s="13">
        <v>-31000</v>
      </c>
      <c r="H141" s="29"/>
      <c r="I141" s="42">
        <f t="shared" si="93"/>
        <v>0</v>
      </c>
      <c r="J141" s="47">
        <f t="shared" si="94"/>
        <v>0</v>
      </c>
      <c r="K141" s="29"/>
      <c r="L141" s="42">
        <f t="shared" si="95"/>
        <v>-31000</v>
      </c>
      <c r="M141" s="47">
        <f t="shared" si="96"/>
        <v>0</v>
      </c>
    </row>
    <row r="142" spans="2:15" x14ac:dyDescent="0.25">
      <c r="B142" t="s">
        <v>76</v>
      </c>
      <c r="C142" s="81">
        <v>4.4999999999999998E-2</v>
      </c>
      <c r="D142" s="13"/>
      <c r="E142" s="13"/>
      <c r="F142" s="13">
        <v>-6623.384</v>
      </c>
      <c r="G142" s="13">
        <v>-6623.384</v>
      </c>
      <c r="H142" s="29"/>
      <c r="I142" s="42">
        <f t="shared" si="93"/>
        <v>0</v>
      </c>
      <c r="J142" s="47">
        <f t="shared" si="94"/>
        <v>0</v>
      </c>
      <c r="K142" s="29"/>
      <c r="L142" s="42">
        <f t="shared" si="95"/>
        <v>-6623.384</v>
      </c>
      <c r="M142" s="47">
        <f t="shared" si="96"/>
        <v>0</v>
      </c>
    </row>
    <row r="144" spans="2:15" x14ac:dyDescent="0.25">
      <c r="B144" s="28" t="s">
        <v>77</v>
      </c>
    </row>
    <row r="145" spans="2:15" x14ac:dyDescent="0.25">
      <c r="B145" t="s">
        <v>60</v>
      </c>
      <c r="C145" s="27">
        <f>$C$139/4</f>
        <v>38750</v>
      </c>
    </row>
    <row r="146" spans="2:15" x14ac:dyDescent="0.25">
      <c r="B146" t="s">
        <v>62</v>
      </c>
      <c r="C146" s="27">
        <f t="shared" ref="C146:C148" si="97">$C$139/4</f>
        <v>38750</v>
      </c>
    </row>
    <row r="147" spans="2:15" x14ac:dyDescent="0.25">
      <c r="B147" t="s">
        <v>63</v>
      </c>
      <c r="C147" s="27">
        <f t="shared" si="97"/>
        <v>38750</v>
      </c>
    </row>
    <row r="148" spans="2:15" x14ac:dyDescent="0.25">
      <c r="B148" t="s">
        <v>64</v>
      </c>
      <c r="C148" s="27">
        <f t="shared" si="97"/>
        <v>38750</v>
      </c>
    </row>
    <row r="151" spans="2:15" x14ac:dyDescent="0.25">
      <c r="B151" s="25" t="s">
        <v>82</v>
      </c>
      <c r="C151" s="25"/>
      <c r="D151" s="26"/>
      <c r="E151" s="26"/>
      <c r="F151" s="26"/>
      <c r="G151" s="26"/>
      <c r="H151" s="26"/>
      <c r="I151" s="39"/>
      <c r="J151" s="26"/>
      <c r="K151" s="26"/>
      <c r="L151" s="39"/>
      <c r="M151" s="26"/>
    </row>
    <row r="152" spans="2:15" x14ac:dyDescent="0.25">
      <c r="B152" s="23"/>
      <c r="C152" s="23">
        <v>5</v>
      </c>
    </row>
    <row r="153" spans="2:15" x14ac:dyDescent="0.25">
      <c r="B153" t="s">
        <v>73</v>
      </c>
      <c r="C153" s="27">
        <v>120000</v>
      </c>
      <c r="O153" s="61" t="s">
        <v>83</v>
      </c>
    </row>
    <row r="154" spans="2:15" x14ac:dyDescent="0.25">
      <c r="B154" t="s">
        <v>74</v>
      </c>
      <c r="D154" s="13"/>
      <c r="E154" s="13"/>
      <c r="F154" s="13"/>
      <c r="G154" s="13"/>
      <c r="H154" s="29"/>
      <c r="I154" s="42">
        <f t="shared" ref="I154:I156" si="98">+G154-F154</f>
        <v>0</v>
      </c>
      <c r="J154" s="47">
        <f t="shared" ref="J154:J156" si="99">+IFERROR(I154/F154,0)</f>
        <v>0</v>
      </c>
      <c r="K154" s="29"/>
      <c r="L154" s="42">
        <f t="shared" ref="L154:L156" si="100">+G154-E154</f>
        <v>0</v>
      </c>
      <c r="M154" s="47">
        <f t="shared" ref="M154:M156" si="101">+IFERROR(L154/E154,0)</f>
        <v>0</v>
      </c>
    </row>
    <row r="155" spans="2:15" x14ac:dyDescent="0.25">
      <c r="B155" t="s">
        <v>75</v>
      </c>
      <c r="D155" s="13"/>
      <c r="E155" s="13"/>
      <c r="F155" s="13"/>
      <c r="G155" s="13"/>
      <c r="H155" s="29"/>
      <c r="I155" s="42">
        <f t="shared" si="98"/>
        <v>0</v>
      </c>
      <c r="J155" s="47">
        <f t="shared" si="99"/>
        <v>0</v>
      </c>
      <c r="K155" s="29"/>
      <c r="L155" s="42">
        <f t="shared" si="100"/>
        <v>0</v>
      </c>
      <c r="M155" s="47">
        <f t="shared" si="101"/>
        <v>0</v>
      </c>
    </row>
    <row r="156" spans="2:15" x14ac:dyDescent="0.25">
      <c r="B156" t="s">
        <v>76</v>
      </c>
      <c r="C156" s="81">
        <v>4.4999999999999998E-2</v>
      </c>
      <c r="D156" s="13"/>
      <c r="E156" s="13"/>
      <c r="F156" s="13">
        <v>-2813</v>
      </c>
      <c r="G156" s="13">
        <f>(-80000*C156)/2</f>
        <v>-1800</v>
      </c>
      <c r="H156" s="29"/>
      <c r="I156" s="42">
        <f t="shared" si="98"/>
        <v>1013</v>
      </c>
      <c r="J156" s="47">
        <f t="shared" si="99"/>
        <v>-0.3601137575542126</v>
      </c>
      <c r="K156" s="29"/>
      <c r="L156" s="42">
        <f t="shared" si="100"/>
        <v>-1800</v>
      </c>
      <c r="M156" s="47">
        <f t="shared" si="101"/>
        <v>0</v>
      </c>
      <c r="O156" s="61" t="s">
        <v>84</v>
      </c>
    </row>
    <row r="158" spans="2:15" x14ac:dyDescent="0.25">
      <c r="B158" s="28" t="s">
        <v>77</v>
      </c>
    </row>
    <row r="159" spans="2:15" x14ac:dyDescent="0.25">
      <c r="B159" t="s">
        <v>60</v>
      </c>
      <c r="C159" s="27">
        <f>$C$153/4</f>
        <v>30000</v>
      </c>
    </row>
    <row r="160" spans="2:15" x14ac:dyDescent="0.25">
      <c r="B160" t="s">
        <v>62</v>
      </c>
      <c r="C160" s="27">
        <f>$C$153/4</f>
        <v>30000</v>
      </c>
    </row>
    <row r="161" spans="2:3" x14ac:dyDescent="0.25">
      <c r="B161" t="s">
        <v>63</v>
      </c>
      <c r="C161" s="27">
        <f>$C$153/4</f>
        <v>30000</v>
      </c>
    </row>
    <row r="162" spans="2:3" x14ac:dyDescent="0.25">
      <c r="B162" t="s">
        <v>64</v>
      </c>
      <c r="C162" s="27">
        <f>$C$153/4</f>
        <v>30000</v>
      </c>
    </row>
  </sheetData>
  <mergeCells count="1">
    <mergeCell ref="C4:F4"/>
  </mergeCells>
  <dataValidations disablePrompts="1" count="1">
    <dataValidation type="list" allowBlank="1" showInputMessage="1" showErrorMessage="1" sqref="O33:O35" xr:uid="{00000000-0002-0000-0100-000000000000}">
      <formula1>AM</formula1>
    </dataValidation>
  </dataValidations>
  <pageMargins left="0.7" right="0.7" top="0.75" bottom="0.75" header="0.3" footer="0.3"/>
  <pageSetup paperSize="9" orientation="portrait" r:id="rId1"/>
  <ignoredErrors>
    <ignoredError sqref="F61" formula="1"/>
  </ignoredError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50BC7C95D0C844FA380885253AF7DDE" ma:contentTypeVersion="2" ma:contentTypeDescription="Opprett et nytt dokument." ma:contentTypeScope="" ma:versionID="8e1e19733503b99ce9bcd92ce5172f92">
  <xsd:schema xmlns:xsd="http://www.w3.org/2001/XMLSchema" xmlns:xs="http://www.w3.org/2001/XMLSchema" xmlns:p="http://schemas.microsoft.com/office/2006/metadata/properties" xmlns:ns2="28f7e540-31cf-4142-8b23-258f74960bbf" targetNamespace="http://schemas.microsoft.com/office/2006/metadata/properties" ma:root="true" ma:fieldsID="7bedb56901752342e881f5ddcc0078c4" ns2:_="">
    <xsd:import namespace="28f7e540-31cf-4142-8b23-258f74960bb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f7e540-31cf-4142-8b23-258f74960bb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5BAAEEF-5E7A-4E83-B6A4-D372EB9C8F46}">
  <ds:schemaRefs>
    <ds:schemaRef ds:uri="http://schemas.microsoft.com/office/2006/metadata/properties"/>
    <ds:schemaRef ds:uri="http://schemas.microsoft.com/office/infopath/2007/PartnerControls"/>
    <ds:schemaRef ds:uri="e376ce0e-24e1-4d11-942b-ffae9aac71cf"/>
  </ds:schemaRefs>
</ds:datastoreItem>
</file>

<file path=customXml/itemProps2.xml><?xml version="1.0" encoding="utf-8"?>
<ds:datastoreItem xmlns:ds="http://schemas.openxmlformats.org/officeDocument/2006/customXml" ds:itemID="{71B78DB7-E76F-4B5E-9A51-D5B215CDA12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138DB67-EA90-4BAA-B0BC-5EC544C13B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Forutsetninger budsjett 2025</vt:lpstr>
      <vt:lpstr>Mal for budsjett 2025</vt:lpstr>
    </vt:vector>
  </TitlesOfParts>
  <Manager/>
  <Company>Helse Sør-Øst RHF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atruud</dc:creator>
  <cp:keywords/>
  <dc:description/>
  <cp:lastModifiedBy>Lars Erik Tandsæther</cp:lastModifiedBy>
  <cp:revision/>
  <dcterms:created xsi:type="dcterms:W3CDTF">2016-02-24T13:21:01Z</dcterms:created>
  <dcterms:modified xsi:type="dcterms:W3CDTF">2024-09-05T14:17:51Z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0x010100C50BC7C95D0C844FA380885253AF7DDE</vt:lpwstr>
  </property>
</Properties>
</file>